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KsOFw6/mwBkUVRCDhC655XsP/mgymo1QSRESeyFgN1+y7zT8uUnRvZZp7thqoJLsCE8w3e5Nc8ZOAqTlJdNrIA==" workbookSaltValue="EK5XMIxZYG1BDEL/YXkq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AK32" i="20"/>
  <c r="U12" i="11"/>
  <c r="AZ32" i="20"/>
  <c r="R32" i="20"/>
  <c r="AJ32" i="20"/>
  <c r="G30" i="14"/>
  <c r="G23" i="14"/>
  <c r="U18" i="11"/>
  <c r="AX32" i="20"/>
  <c r="Y32" i="20"/>
  <c r="L32" i="20"/>
  <c r="AG32" i="20"/>
  <c r="H32" i="20"/>
  <c r="T32" i="21"/>
  <c r="F32" i="20"/>
  <c r="AF32" i="20"/>
  <c r="G26" i="14"/>
  <c r="S32" i="20"/>
  <c r="K32" i="20"/>
  <c r="AQ32" i="21"/>
  <c r="O17" i="11"/>
  <c r="Q32" i="20"/>
  <c r="AE32" i="20"/>
  <c r="AU32" i="20"/>
  <c r="G14" i="14"/>
  <c r="O18" i="11"/>
  <c r="W32" i="20"/>
  <c r="F25" i="2" l="1"/>
  <c r="BF17" i="8"/>
  <c r="F16" i="11"/>
  <c r="AQ16" i="11" s="1"/>
  <c r="U13" i="16"/>
  <c r="P13" i="14"/>
  <c r="R13" i="14" s="1"/>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K17" i="12" l="1"/>
  <c r="I10" i="12"/>
  <c r="I16" i="12"/>
  <c r="K9" i="12"/>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BI25" i="11"/>
  <c r="BL25" i="11"/>
  <c r="Q25" i="11" s="1"/>
  <c r="T16" i="16"/>
  <c r="BW16" i="20"/>
  <c r="BF20" i="11"/>
  <c r="AZ25" i="11"/>
  <c r="AZ30" i="11" s="1"/>
  <c r="L16" i="2"/>
  <c r="X13" i="16"/>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L19" i="11"/>
  <c r="BJ18" i="11"/>
  <c r="BM17" i="11"/>
  <c r="BF21" i="11"/>
  <c r="BF17" i="11"/>
  <c r="BL12" i="11"/>
  <c r="BK21" i="11"/>
  <c r="V13" i="11"/>
  <c r="BI19" i="11"/>
  <c r="AP22" i="20"/>
  <c r="R25" i="14"/>
  <c r="AZ9" i="11"/>
  <c r="BV19" i="16"/>
  <c r="BW18" i="20"/>
  <c r="BW12" i="20"/>
  <c r="BV10" i="16"/>
  <c r="V12" i="16"/>
  <c r="S22" i="17"/>
  <c r="S16" i="16"/>
  <c r="S23" i="16" s="1"/>
  <c r="BL20" i="11"/>
  <c r="BL16" i="11"/>
  <c r="Q16" i="11" s="1"/>
  <c r="BH21" i="11"/>
  <c r="BK17" i="11"/>
  <c r="BM18" i="11"/>
  <c r="BH17" i="11"/>
  <c r="AQ12" i="21"/>
  <c r="BH25" i="11"/>
  <c r="BI21" i="11"/>
  <c r="L10" i="2"/>
  <c r="X21" i="20"/>
  <c r="L18" i="2"/>
  <c r="X16" i="16"/>
  <c r="X23" i="16" s="1"/>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V32" i="21"/>
  <c r="O12" i="11"/>
  <c r="H32" i="17"/>
  <c r="O32" i="20"/>
  <c r="AW32" i="11"/>
  <c r="E31" i="2" l="1"/>
  <c r="AA31" i="11"/>
  <c r="S31" i="16"/>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X32" i="17"/>
  <c r="S32" i="16"/>
  <c r="H32" i="16"/>
  <c r="Y32" i="11"/>
  <c r="AO32" i="21"/>
  <c r="AE32" i="21"/>
  <c r="S32" i="21"/>
  <c r="AF32" i="17"/>
  <c r="AF32" i="11"/>
  <c r="AS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1"/>
  <c r="P32" i="11"/>
  <c r="BD32" i="21"/>
  <c r="AS32" i="21"/>
  <c r="AR32" i="17"/>
  <c r="X32" i="21"/>
  <c r="AA32" i="11"/>
  <c r="AC32" i="11"/>
  <c r="AB32" i="16"/>
  <c r="AG32" i="11"/>
  <c r="AM32" i="17"/>
  <c r="N32" i="21"/>
  <c r="AD32" i="21"/>
  <c r="K32" i="21"/>
  <c r="AW32" i="17"/>
  <c r="L32" i="21"/>
  <c r="AY32" i="16"/>
  <c r="BF32" i="16"/>
  <c r="AK32" i="16"/>
  <c r="AL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<sst xmlns="http://schemas.openxmlformats.org/spreadsheetml/2006/main" count="2682" uniqueCount="1193">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</sst>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en4KUP7RunU0I1kO0fmBcxwqdhDuUCz/fcNFsLc+XjWFt07SQ8QLM+itsANU3mA3aRJfwFmwFG8exGRKobA6w==" saltValue="Jwi8F0/PzdBbiz8lkf48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47</v>
      </c>
      <c r="F10" s="240">
        <f>IF(ISNUMBER(Datos!K10),Datos!K10," - ")</f>
        <v>18</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2.0714285714285716</v>
      </c>
      <c r="L10" s="1402">
        <f>IF(ISNUMBER(NºAsuntos!I10/NºAsuntos!G10),(NºAsuntos!I10/NºAsuntos!G10)*11," - ")</f>
        <v>26.277777777777779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47</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536</v>
      </c>
      <c r="D17" s="239">
        <f>IF(ISNUMBER(IF(D_I="SI",Datos!I17,Datos!I17+Datos!AC17)),IF(D_I="SI",Datos!I17,Datos!I17+Datos!AC17)," - ")</f>
        <v>532</v>
      </c>
      <c r="E17" s="240">
        <f>IF(ISNUMBER(IF(D_I="SI",Datos!J17,Datos!J17+Datos!AD17)),IF(D_I="SI",Datos!J17,Datos!J17+Datos!AD17)," - ")</f>
        <v>399</v>
      </c>
      <c r="F17" s="240">
        <f>IF(ISNUMBER(IF(D_I="SI",Datos!K17,Datos!K17+Datos!AE17)),IF(D_I="SI",Datos!K17,Datos!K17+Datos!AE17)," - ")</f>
        <v>402</v>
      </c>
      <c r="G17" s="1390" t="str">
        <f>IF(Datos!E17&lt;&gt;"",Datos!E17,Datos!D17)</f>
        <v>04</v>
      </c>
      <c r="H17" s="241">
        <f>IF(ISNUMBER(IF(D_I="SI",Datos!L17,Datos!L17+Datos!AF17)),IF(D_I="SI",Datos!L17,Datos!L17+Datos!AF17)," - ")</f>
        <v>533</v>
      </c>
      <c r="I17" s="1400" t="str">
        <f>IF(ISNUMBER(Datos!AS17/Datos!BM17),Datos!AS17/Datos!BM17," - ")</f>
        <v xml:space="preserve"> - </v>
      </c>
      <c r="J17" s="1401">
        <f>IF(ISNUMBER(Datos!BY17/Datos!CN17),Datos!BY17/Datos!CN17," - ")</f>
        <v>0</v>
      </c>
      <c r="K17" s="244">
        <f t="shared" si="3"/>
        <v>-5.597014925373134E-3</v>
      </c>
      <c r="L17" s="1402">
        <f>IF(ISNUMBER(NºAsuntos!I17/NºAsuntos!G17),(NºAsuntos!I17/NºAsuntos!G17)*11," - ")</f>
        <v>14.58457711442786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62</v>
      </c>
      <c r="F18" s="240">
        <f>IF(ISNUMBER(IF(D_I="SI",Datos!K18,Datos!K18+Datos!AE18)),IF(D_I="SI",Datos!K18,Datos!K18+Datos!AE18)," - ")</f>
        <v>62</v>
      </c>
      <c r="G18" s="1390" t="str">
        <f>IF(Datos!E18&lt;&gt;"",Datos!E18,Datos!D18)</f>
        <v>37</v>
      </c>
      <c r="H18" s="241">
        <f>IF(ISNUMBER(IF(D_I="SI",Datos!L18,Datos!L18+Datos!AF18)),IF(D_I="SI",Datos!L18,Datos!L18+Datos!AF18)," - ")</f>
        <v>128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22.70967741935484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664</v>
      </c>
      <c r="D23" s="1407">
        <f>SUBTOTAL(9,D16:D22)</f>
        <v>660</v>
      </c>
      <c r="E23" s="1408">
        <f>SUBTOTAL(9,E16:E22)</f>
        <v>461</v>
      </c>
      <c r="F23" s="1408">
        <f>SUBTOTAL(9,F16:F22)</f>
        <v>464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678</v>
      </c>
      <c r="D31" s="1435">
        <f>SUBTOTAL(9,D9:D30)</f>
        <v>674</v>
      </c>
      <c r="E31" s="1436">
        <f>SUBTOTAL(9,E9:E30)</f>
        <v>508</v>
      </c>
      <c r="F31" s="1436">
        <f>SUBTOTAL(9,F9:F30)</f>
        <v>482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Lt06A0P9fdb7bVu7QSnLFjwfUsJLuFmGwf8R8R2AeFyBAMDcmgKLg6WG9B6C5rU5RHhXrs/8fc5dIj0zLcKAw==" saltValue="Ctx5Um10RrxCT/5X1Q6I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LHQcki2tBjpjR16XTbZayf5xbGmwW/I1nYkQZymH6lg8lXZxM8qb1596AneqE4XDgUEy4Za9fkLzc6aCXK2JA==" saltValue="RdEM0kQYruLInmbqBfw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47</v>
      </c>
      <c r="K10" s="194">
        <v>18</v>
      </c>
      <c r="L10" s="194">
        <v>43</v>
      </c>
      <c r="M10" s="194">
        <v>5</v>
      </c>
      <c r="N10" s="194">
        <v>8</v>
      </c>
      <c r="O10" s="194">
        <v>5</v>
      </c>
      <c r="P10" s="194">
        <v>0</v>
      </c>
      <c r="Q10" s="194">
        <v>0</v>
      </c>
      <c r="R10" s="194">
        <v>0</v>
      </c>
      <c r="S10" s="194">
        <v>13</v>
      </c>
      <c r="T10" s="194">
        <v>4</v>
      </c>
      <c r="U10" s="194">
        <v>3</v>
      </c>
      <c r="V10" s="194">
        <v>14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4</v>
      </c>
      <c r="BA10" s="139">
        <f t="shared" si="0"/>
        <v>3</v>
      </c>
      <c r="BB10" s="139">
        <f t="shared" si="0"/>
        <v>14</v>
      </c>
      <c r="BC10" s="135">
        <f t="shared" si="0"/>
        <v>1</v>
      </c>
      <c r="BD10" s="136">
        <f>IF(ISNUMBER(BA10/AZ10),BA10/AZ10," - ")</f>
        <v>0.75</v>
      </c>
      <c r="BE10" s="137">
        <f>IF(ISNUMBER(BB10/BA10),BB10/BA10, " - ")</f>
        <v>4.666666666666667</v>
      </c>
      <c r="BF10" s="137">
        <f>IF(ISNUMBER(BC10/BA10),BC10/BA10, " - ")</f>
        <v>0.33333333333333331</v>
      </c>
      <c r="BG10" s="209">
        <f>IF(ISNUMBER((AY10+AZ10)/BA10),(AY10+AZ10)/BA10," - ")</f>
        <v>5.666666666666667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618</v>
      </c>
      <c r="J12" s="196">
        <v>301</v>
      </c>
      <c r="K12" s="196">
        <v>225</v>
      </c>
      <c r="L12" s="196">
        <v>694</v>
      </c>
      <c r="M12" s="196">
        <v>55</v>
      </c>
      <c r="N12" s="196">
        <v>135</v>
      </c>
      <c r="O12" s="194">
        <v>120</v>
      </c>
      <c r="P12" s="196">
        <v>105</v>
      </c>
      <c r="Q12" s="196">
        <v>134</v>
      </c>
      <c r="R12" s="196">
        <v>725</v>
      </c>
      <c r="S12" s="196">
        <v>403</v>
      </c>
      <c r="T12" s="196">
        <v>316</v>
      </c>
      <c r="U12" s="196">
        <v>210</v>
      </c>
      <c r="V12" s="196">
        <v>501</v>
      </c>
      <c r="W12" s="196">
        <v>82</v>
      </c>
      <c r="X12" s="202">
        <v>115</v>
      </c>
      <c r="Y12" s="204">
        <v>40</v>
      </c>
      <c r="Z12" s="194">
        <v>31</v>
      </c>
      <c r="AA12" s="194">
        <v>39</v>
      </c>
      <c r="AB12" s="194">
        <v>32</v>
      </c>
      <c r="AC12" s="196">
        <v>0</v>
      </c>
      <c r="AD12" s="196">
        <v>0</v>
      </c>
      <c r="AE12" s="196">
        <v>0</v>
      </c>
      <c r="AF12" s="202">
        <v>0</v>
      </c>
      <c r="AG12" s="215">
        <v>25</v>
      </c>
      <c r="AH12" s="196">
        <v>42</v>
      </c>
      <c r="AI12" s="196">
        <v>31</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428</v>
      </c>
      <c r="AZ12" s="137">
        <f t="shared" si="1"/>
        <v>358</v>
      </c>
      <c r="BA12" s="137">
        <f t="shared" si="1"/>
        <v>241</v>
      </c>
      <c r="BB12" s="137">
        <f t="shared" si="1"/>
        <v>537</v>
      </c>
      <c r="BC12" s="135">
        <f>IF(ISNUMBER(X12),X12," - ")</f>
        <v>115</v>
      </c>
      <c r="BD12" s="136">
        <f t="shared" si="2"/>
        <v>0.67318435754189943</v>
      </c>
      <c r="BE12" s="137">
        <f t="shared" si="3"/>
        <v>2.2282157676348548</v>
      </c>
      <c r="BF12" s="137">
        <f t="shared" si="4"/>
        <v>0.47717842323651455</v>
      </c>
      <c r="BG12" s="209">
        <f t="shared" si="5"/>
        <v>3.2614107883817427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632</v>
      </c>
      <c r="J14" s="197">
        <f t="shared" si="7"/>
        <v>348</v>
      </c>
      <c r="K14" s="197">
        <f t="shared" si="7"/>
        <v>243</v>
      </c>
      <c r="L14" s="197">
        <f t="shared" si="7"/>
        <v>737</v>
      </c>
      <c r="M14" s="197">
        <f t="shared" si="7"/>
        <v>60</v>
      </c>
      <c r="N14" s="197">
        <f t="shared" si="7"/>
        <v>143</v>
      </c>
      <c r="O14" s="197">
        <f t="shared" si="7"/>
        <v>125</v>
      </c>
      <c r="P14" s="197">
        <f t="shared" si="7"/>
        <v>105</v>
      </c>
      <c r="Q14" s="197">
        <f t="shared" si="7"/>
        <v>134</v>
      </c>
      <c r="R14" s="197">
        <f t="shared" si="7"/>
        <v>725</v>
      </c>
      <c r="S14" s="197">
        <f t="shared" si="7"/>
        <v>416</v>
      </c>
      <c r="T14" s="197">
        <f t="shared" si="7"/>
        <v>320</v>
      </c>
      <c r="U14" s="197">
        <f t="shared" si="7"/>
        <v>213</v>
      </c>
      <c r="V14" s="197">
        <f t="shared" si="7"/>
        <v>515</v>
      </c>
      <c r="W14" s="197">
        <f t="shared" si="7"/>
        <v>83</v>
      </c>
      <c r="X14" s="197">
        <f t="shared" si="7"/>
        <v>115</v>
      </c>
      <c r="Y14" s="197">
        <f t="shared" si="7"/>
        <v>40</v>
      </c>
      <c r="Z14" s="197">
        <f t="shared" si="7"/>
        <v>31</v>
      </c>
      <c r="AA14" s="197">
        <f t="shared" si="7"/>
        <v>39</v>
      </c>
      <c r="AB14" s="197">
        <f t="shared" si="7"/>
        <v>32</v>
      </c>
      <c r="AC14" s="197">
        <f t="shared" si="7"/>
        <v>0</v>
      </c>
      <c r="AD14" s="197">
        <f t="shared" si="7"/>
        <v>0</v>
      </c>
      <c r="AE14" s="197">
        <f t="shared" si="7"/>
        <v>0</v>
      </c>
      <c r="AF14" s="197">
        <f>SUBTOTAL(9,AF9:AF13)</f>
        <v>0</v>
      </c>
      <c r="AG14" s="197">
        <f t="shared" ref="AG14:AT14" si="8">SUBTOTAL(9,AG8:AG13)</f>
        <v>25</v>
      </c>
      <c r="AH14" s="197">
        <f t="shared" si="8"/>
        <v>42</v>
      </c>
      <c r="AI14" s="197">
        <f t="shared" si="8"/>
        <v>31</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441</v>
      </c>
      <c r="AZ14" s="197">
        <f>SUBTOTAL(9,AZ8:AZ13)</f>
        <v>362</v>
      </c>
      <c r="BA14" s="197">
        <f>SUBTOTAL(9,BA8:BA13)</f>
        <v>244</v>
      </c>
      <c r="BB14" s="197">
        <f>SUBTOTAL(9,BB8:BB13)</f>
        <v>551</v>
      </c>
      <c r="BC14" s="197">
        <f>SUBTOTAL(9,BC8:BC13)</f>
        <v>116</v>
      </c>
      <c r="BD14" s="219">
        <f>IF(ISNUMBER(BA14/AZ14),BA14/AZ14," - ")</f>
        <v>0.67403314917127077</v>
      </c>
      <c r="BE14" s="220">
        <f>IF(ISNUMBER(BB14/BA14),BB14/BA14, " - ")</f>
        <v>2.2581967213114753</v>
      </c>
      <c r="BF14" s="220">
        <f>IF(ISNUMBER(BC14/BA14),BC14/BA14, " - ")</f>
        <v>0.47540983606557374</v>
      </c>
      <c r="BG14" s="221">
        <f>IF(ISNUMBER((AY14+AZ14)/BA14),(AY14+AZ14)/BA14," - ")</f>
        <v>3.290983606557377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532</v>
      </c>
      <c r="J17" s="196">
        <v>399</v>
      </c>
      <c r="K17" s="196">
        <v>402</v>
      </c>
      <c r="L17" s="196">
        <v>533</v>
      </c>
      <c r="M17" s="196">
        <v>54</v>
      </c>
      <c r="N17" s="196">
        <v>226</v>
      </c>
      <c r="O17" s="194">
        <v>0</v>
      </c>
      <c r="P17" s="196">
        <v>13</v>
      </c>
      <c r="Q17" s="196">
        <v>32</v>
      </c>
      <c r="R17" s="196">
        <v>50</v>
      </c>
      <c r="S17" s="196">
        <v>478</v>
      </c>
      <c r="T17" s="196">
        <v>279</v>
      </c>
      <c r="U17" s="196">
        <v>336</v>
      </c>
      <c r="V17" s="196">
        <v>431</v>
      </c>
      <c r="W17" s="196">
        <v>65</v>
      </c>
      <c r="X17" s="202">
        <v>157</v>
      </c>
      <c r="Y17" s="215">
        <v>0</v>
      </c>
      <c r="Z17" s="196">
        <v>0</v>
      </c>
      <c r="AA17" s="196">
        <v>0</v>
      </c>
      <c r="AB17" s="196">
        <v>0</v>
      </c>
      <c r="AC17" s="196">
        <v>2</v>
      </c>
      <c r="AD17" s="196">
        <v>11</v>
      </c>
      <c r="AE17" s="196">
        <v>12</v>
      </c>
      <c r="AF17" s="202">
        <v>1</v>
      </c>
      <c r="AG17" s="215">
        <v>0</v>
      </c>
      <c r="AH17" s="196">
        <v>0</v>
      </c>
      <c r="AI17" s="196">
        <v>0</v>
      </c>
      <c r="AJ17" s="216">
        <v>0</v>
      </c>
      <c r="AK17" s="195">
        <v>1</v>
      </c>
      <c r="AL17" s="196">
        <v>11</v>
      </c>
      <c r="AM17" s="196">
        <v>10</v>
      </c>
      <c r="AN17" s="202">
        <v>2</v>
      </c>
      <c r="AO17" s="283">
        <v>2</v>
      </c>
      <c r="AP17" s="168">
        <v>2</v>
      </c>
      <c r="AQ17" s="168">
        <v>2</v>
      </c>
      <c r="AR17" s="168">
        <v>2</v>
      </c>
      <c r="AS17" s="381" t="s">
        <v>650</v>
      </c>
      <c r="AT17" s="216"/>
      <c r="AU17" s="215"/>
      <c r="AV17" s="216"/>
      <c r="AW17" s="215"/>
      <c r="AX17" s="216"/>
      <c r="AY17" s="136">
        <f t="shared" si="10"/>
        <v>478</v>
      </c>
      <c r="AZ17" s="137">
        <f t="shared" si="10"/>
        <v>279</v>
      </c>
      <c r="BA17" s="137">
        <f t="shared" si="10"/>
        <v>336</v>
      </c>
      <c r="BB17" s="137">
        <f t="shared" si="10"/>
        <v>431</v>
      </c>
      <c r="BC17" s="135">
        <f>IF(ISNUMBER(W17),W17," - ")</f>
        <v>65</v>
      </c>
      <c r="BD17" s="136">
        <f t="shared" ref="BD17:BD22" si="12">IF(ISNUMBER(BA17/AZ17),BA17/AZ17," - ")</f>
        <v>1.2043010752688172</v>
      </c>
      <c r="BE17" s="137">
        <f t="shared" ref="BE17:BE22" si="13">IF(ISNUMBER(BB17/BA17),BB17/BA17, " - ")</f>
        <v>1.2827380952380953</v>
      </c>
      <c r="BF17" s="137">
        <f t="shared" ref="BF17:BF22" si="14">IF(ISNUMBER(BC17/BA17),BC17/BA17, " - ")</f>
        <v>0.19345238095238096</v>
      </c>
      <c r="BG17" s="209">
        <f t="shared" si="11"/>
        <v>2.2529761904761907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62</v>
      </c>
      <c r="K18" s="196">
        <v>62</v>
      </c>
      <c r="L18" s="196">
        <v>128</v>
      </c>
      <c r="M18" s="196">
        <v>18</v>
      </c>
      <c r="N18" s="196">
        <v>20</v>
      </c>
      <c r="O18" s="196">
        <v>9</v>
      </c>
      <c r="P18" s="196">
        <v>9</v>
      </c>
      <c r="Q18" s="196">
        <v>14</v>
      </c>
      <c r="R18" s="196">
        <v>11</v>
      </c>
      <c r="S18" s="196">
        <v>69</v>
      </c>
      <c r="T18" s="196">
        <v>37</v>
      </c>
      <c r="U18" s="196">
        <v>33</v>
      </c>
      <c r="V18" s="196">
        <v>76</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37</v>
      </c>
      <c r="BA18" s="139">
        <f t="shared" si="15"/>
        <v>33</v>
      </c>
      <c r="BB18" s="139">
        <f t="shared" si="15"/>
        <v>76</v>
      </c>
      <c r="BC18" s="135">
        <f>IF(ISNUMBER(W18),W18," - ")</f>
        <v>1</v>
      </c>
      <c r="BD18" s="136">
        <f>IF(ISNUMBER(BA18/AZ18),BA18/AZ18," - ")</f>
        <v>0.89189189189189189</v>
      </c>
      <c r="BE18" s="137">
        <f>IF(ISNUMBER(BB18/BA18),BB18/BA18, " - ")</f>
        <v>2.3030303030303032</v>
      </c>
      <c r="BF18" s="137">
        <f>IF(ISNUMBER(BC18/BA18),BC18/BA18, " - ")</f>
        <v>3.0303030303030304E-2</v>
      </c>
      <c r="BG18" s="209">
        <f>IF(ISNUMBER((AY18+AZ18)/BA18),(AY18+AZ18)/BA18," - ")</f>
        <v>3.2121212121212119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660</v>
      </c>
      <c r="J23" s="197">
        <f t="shared" si="21"/>
        <v>461</v>
      </c>
      <c r="K23" s="197">
        <f t="shared" si="21"/>
        <v>464</v>
      </c>
      <c r="L23" s="197">
        <f t="shared" si="21"/>
        <v>661</v>
      </c>
      <c r="M23" s="197">
        <f t="shared" si="21"/>
        <v>72</v>
      </c>
      <c r="N23" s="197">
        <f t="shared" si="21"/>
        <v>246</v>
      </c>
      <c r="O23" s="197">
        <f t="shared" si="21"/>
        <v>9</v>
      </c>
      <c r="P23" s="197">
        <f t="shared" si="21"/>
        <v>22</v>
      </c>
      <c r="Q23" s="197">
        <f t="shared" si="21"/>
        <v>46</v>
      </c>
      <c r="R23" s="197">
        <f t="shared" si="21"/>
        <v>61</v>
      </c>
      <c r="S23" s="197">
        <f t="shared" si="21"/>
        <v>547</v>
      </c>
      <c r="T23" s="197">
        <f t="shared" si="21"/>
        <v>316</v>
      </c>
      <c r="U23" s="197">
        <f t="shared" si="21"/>
        <v>369</v>
      </c>
      <c r="V23" s="197">
        <f t="shared" si="21"/>
        <v>507</v>
      </c>
      <c r="W23" s="197">
        <f t="shared" si="21"/>
        <v>66</v>
      </c>
      <c r="X23" s="197">
        <f t="shared" si="21"/>
        <v>171</v>
      </c>
      <c r="Y23" s="197">
        <f t="shared" si="21"/>
        <v>0</v>
      </c>
      <c r="Z23" s="197">
        <f t="shared" si="21"/>
        <v>0</v>
      </c>
      <c r="AA23" s="197">
        <f t="shared" si="21"/>
        <v>0</v>
      </c>
      <c r="AB23" s="197">
        <f t="shared" si="21"/>
        <v>0</v>
      </c>
      <c r="AC23" s="197">
        <f t="shared" si="21"/>
        <v>2</v>
      </c>
      <c r="AD23" s="197">
        <f t="shared" si="21"/>
        <v>11</v>
      </c>
      <c r="AE23" s="197">
        <f t="shared" si="21"/>
        <v>12</v>
      </c>
      <c r="AF23" s="197">
        <f t="shared" si="21"/>
        <v>1</v>
      </c>
      <c r="AG23" s="197">
        <f t="shared" si="21"/>
        <v>0</v>
      </c>
      <c r="AH23" s="197">
        <f t="shared" si="21"/>
        <v>0</v>
      </c>
      <c r="AI23" s="197">
        <f t="shared" si="21"/>
        <v>0</v>
      </c>
      <c r="AJ23" s="197">
        <f t="shared" si="21"/>
        <v>0</v>
      </c>
      <c r="AK23" s="197">
        <f t="shared" si="21"/>
        <v>1</v>
      </c>
      <c r="AL23" s="197">
        <f t="shared" si="21"/>
        <v>11</v>
      </c>
      <c r="AM23" s="197">
        <f t="shared" si="21"/>
        <v>10</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547</v>
      </c>
      <c r="AZ23" s="197">
        <f>SUBTOTAL(9,AZ15:AZ22)</f>
        <v>316</v>
      </c>
      <c r="BA23" s="197">
        <f>SUBTOTAL(9,BA15:BA22)</f>
        <v>369</v>
      </c>
      <c r="BB23" s="197">
        <f>SUBTOTAL(9,BB15:BB22)</f>
        <v>507</v>
      </c>
      <c r="BC23" s="197">
        <f>SUBTOTAL(9,BC15:BC22)</f>
        <v>66</v>
      </c>
      <c r="BD23" s="219">
        <f>IF(ISNUMBER(BA23/AZ23),BA23/AZ23," - ")</f>
        <v>1.1677215189873418</v>
      </c>
      <c r="BE23" s="220">
        <f>IF(ISNUMBER(BB23/BA23),BB23/BA23, " - ")</f>
        <v>1.3739837398373984</v>
      </c>
      <c r="BF23" s="220">
        <f>IF(ISNUMBER(BC23/BA23),BC23/BA23, " - ")</f>
        <v>0.17886178861788618</v>
      </c>
      <c r="BG23" s="221">
        <f>IF(ISNUMBER((AY23+AZ23)/BA23),(AY23+AZ23)/BA23," - ")</f>
        <v>2.3387533875338753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1292</v>
      </c>
      <c r="J31" s="144">
        <f t="shared" si="36"/>
        <v>809</v>
      </c>
      <c r="K31" s="144">
        <f t="shared" si="36"/>
        <v>707</v>
      </c>
      <c r="L31" s="144">
        <f t="shared" si="36"/>
        <v>1398</v>
      </c>
      <c r="M31" s="144">
        <f t="shared" si="36"/>
        <v>132</v>
      </c>
      <c r="N31" s="144">
        <f t="shared" si="36"/>
        <v>389</v>
      </c>
      <c r="O31" s="144">
        <f t="shared" si="36"/>
        <v>134</v>
      </c>
      <c r="P31" s="144">
        <f t="shared" si="36"/>
        <v>127</v>
      </c>
      <c r="Q31" s="144">
        <f t="shared" si="36"/>
        <v>180</v>
      </c>
      <c r="R31" s="144">
        <f t="shared" si="36"/>
        <v>786</v>
      </c>
      <c r="S31" s="144">
        <f t="shared" si="36"/>
        <v>963</v>
      </c>
      <c r="T31" s="144">
        <f t="shared" si="36"/>
        <v>636</v>
      </c>
      <c r="U31" s="144">
        <f t="shared" si="36"/>
        <v>582</v>
      </c>
      <c r="V31" s="144">
        <f t="shared" si="36"/>
        <v>1022</v>
      </c>
      <c r="W31" s="144">
        <f t="shared" si="36"/>
        <v>149</v>
      </c>
      <c r="X31" s="144">
        <f t="shared" si="36"/>
        <v>286</v>
      </c>
      <c r="Y31" s="144">
        <f t="shared" si="36"/>
        <v>40</v>
      </c>
      <c r="Z31" s="144">
        <f t="shared" si="36"/>
        <v>31</v>
      </c>
      <c r="AA31" s="144">
        <f t="shared" si="36"/>
        <v>39</v>
      </c>
      <c r="AB31" s="144">
        <f t="shared" si="36"/>
        <v>32</v>
      </c>
      <c r="AC31" s="144">
        <f t="shared" si="36"/>
        <v>2</v>
      </c>
      <c r="AD31" s="144">
        <f t="shared" si="36"/>
        <v>11</v>
      </c>
      <c r="AE31" s="144">
        <f t="shared" si="36"/>
        <v>12</v>
      </c>
      <c r="AF31" s="144">
        <f t="shared" si="36"/>
        <v>1</v>
      </c>
      <c r="AG31" s="144">
        <f t="shared" si="36"/>
        <v>25</v>
      </c>
      <c r="AH31" s="144">
        <f t="shared" si="36"/>
        <v>42</v>
      </c>
      <c r="AI31" s="144">
        <f t="shared" si="36"/>
        <v>31</v>
      </c>
      <c r="AJ31" s="144">
        <f t="shared" si="36"/>
        <v>36</v>
      </c>
      <c r="AK31" s="144">
        <f t="shared" si="36"/>
        <v>1</v>
      </c>
      <c r="AL31" s="144">
        <f t="shared" si="36"/>
        <v>11</v>
      </c>
      <c r="AM31" s="144">
        <f t="shared" si="36"/>
        <v>10</v>
      </c>
      <c r="AN31" s="224">
        <f t="shared" si="36"/>
        <v>2</v>
      </c>
      <c r="AO31" s="225">
        <v>3</v>
      </c>
      <c r="AP31" s="225">
        <v>2</v>
      </c>
      <c r="AQ31" s="225">
        <v>2</v>
      </c>
      <c r="AR31" s="225">
        <v>2</v>
      </c>
      <c r="AS31" s="166">
        <f t="shared" si="36"/>
        <v>0</v>
      </c>
      <c r="AT31" s="166">
        <f t="shared" si="36"/>
        <v>0</v>
      </c>
      <c r="AU31" s="225"/>
      <c r="AV31" s="226"/>
      <c r="AW31" s="225"/>
      <c r="AX31" s="226"/>
      <c r="AY31" s="143">
        <f>SUBTOTAL(9,AY9:AY30)</f>
        <v>988</v>
      </c>
      <c r="AZ31" s="144">
        <f>SUBTOTAL(9,AZ9:AZ30)</f>
        <v>678</v>
      </c>
      <c r="BA31" s="144">
        <f>SUBTOTAL(9,BA9:BA30)</f>
        <v>613</v>
      </c>
      <c r="BB31" s="144">
        <f>SUBTOTAL(9,BB9:BB30)</f>
        <v>1058</v>
      </c>
      <c r="BC31" s="145">
        <f>SUBTOTAL(9,BC9:BC30)</f>
        <v>182</v>
      </c>
      <c r="BD31" s="227">
        <f>IF(ISNUMBER(BA31/AZ31),BA31/AZ31," - ")</f>
        <v>0.90412979351032452</v>
      </c>
      <c r="BE31" s="224">
        <f>IF(ISNUMBER(BB31/BA31),BB31/BA31, " - ")</f>
        <v>1.7259380097879282</v>
      </c>
      <c r="BF31" s="224">
        <f>IF(ISNUMBER(BC31/BA31),BC31/BA31, " - ")</f>
        <v>0.29690048939641112</v>
      </c>
      <c r="BG31" s="145">
        <f>IF(ISNUMBER((AY31+AZ31)/BA31),(AY31+AZ31)/BA31," - ")</f>
        <v>2.7177814029363785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EdCYPoP7YNsyYvcSKU3dzCFTzLOk3B4/2tPVIWRDzWejVG4bV+VhXKfcZ5QhbJ+crSFQUf1GurS0AqkTbI3GA==" saltValue="QPpO+mq/5Vj9HnZFJAvD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64JLi6mleCJOCZyT8bHitAAxPe7MBLQcEMSspGtPggItYsgz1e3xs1KBn9IlZYjfIViJGUgrqlCzXsYGWFEFQ==" saltValue="bMH6S8b9OctJtpxp/bzO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EIBAR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43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8</v>
      </c>
      <c r="BE10" s="693" t="str">
        <f>IF(ISNUMBER(Datos!BW10),Datos!BW10," - ")</f>
        <v xml:space="preserve"> - </v>
      </c>
      <c r="BF10" s="762" t="str">
        <f>IF(ISNUMBER(Datos!BX10),Datos!BX10," - ")</f>
        <v xml:space="preserve"> - </v>
      </c>
      <c r="BG10" s="763">
        <f>IF(ISNUMBER(Datos!K10/Datos!J10),Datos!K10/Datos!J10," - ")</f>
        <v>0.38297872340425532</v>
      </c>
      <c r="BH10" s="764">
        <f>IF(ISNUMBER(((Datos!L10/Datos!K10)*11)/factor_trimestre),((Datos!L10/Datos!K10)*11)/factor_trimestre," - ")</f>
        <v>7.166666666666667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725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0.79518072289156627</v>
      </c>
      <c r="BH12" s="764">
        <f>IF(ISNUMBER(((IF(J_V="SI",Datos!L12/Datos!K12,(Datos!L12+Datos!AB12)/(Datos!K12+Datos!AA12)))*11)/factor_trimestre),((IF(J_V="SI",Datos!L12/Datos!K12,(Datos!L12+Datos!AB12)/(Datos!K12+Datos!AA12)))*11)/factor_trimestre," - ")</f>
        <v>8.25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-3.8461538461538464E-2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134</v>
      </c>
      <c r="AD14" s="1198">
        <f t="shared" si="2"/>
        <v>0</v>
      </c>
      <c r="AE14" s="1198">
        <f t="shared" si="2"/>
        <v>0</v>
      </c>
      <c r="AF14" s="1198">
        <f t="shared" si="2"/>
        <v>43</v>
      </c>
      <c r="AG14" s="1198">
        <f t="shared" si="2"/>
        <v>0</v>
      </c>
      <c r="AH14" s="1198">
        <f t="shared" si="2"/>
        <v>32</v>
      </c>
      <c r="AI14" s="1198">
        <f t="shared" si="2"/>
        <v>0</v>
      </c>
      <c r="AJ14" s="1198">
        <f t="shared" si="2"/>
        <v>0</v>
      </c>
      <c r="AK14" s="1198">
        <f t="shared" si="2"/>
        <v>0</v>
      </c>
      <c r="AL14" s="1198">
        <f t="shared" si="2"/>
        <v>0</v>
      </c>
      <c r="AM14" s="1198">
        <f t="shared" si="2"/>
        <v>725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143</v>
      </c>
      <c r="BE14" s="1198">
        <f t="shared" si="2"/>
        <v>0</v>
      </c>
      <c r="BF14" s="1198">
        <f t="shared" si="2"/>
        <v>0</v>
      </c>
      <c r="BG14" s="1198">
        <f>IF(ISNUMBER(Datos!K14/Datos!J14),Datos!K14/Datos!J14," - ")</f>
        <v>0.69827586206896552</v>
      </c>
      <c r="BH14" s="1202">
        <f>IF(ISNUMBER(((Datos!L14/Datos!K14)*11)/factor_trimestre),((Datos!L14/Datos!K14)*11)/factor_trimestre," - ")</f>
        <v>9.0987654320987659</v>
      </c>
      <c r="BI14" s="1198">
        <f>IF(ISNUMBER('Resol  Asuntos'!D14/NºAsuntos!G14),'Resol  Asuntos'!D14/NºAsuntos!G14," - ")</f>
        <v>0.21276595744680851</v>
      </c>
      <c r="BJ14" s="1198" t="str">
        <f>IF(ISNUMBER(Datos!CI14/Datos!CJ14),Datos!CI14/Datos!CJ14," - ")</f>
        <v xml:space="preserve"> - </v>
      </c>
      <c r="BK14" s="1198">
        <f>SUBTOTAL(9,BK8:BK13)</f>
        <v>0</v>
      </c>
      <c r="BL14" s="1198">
        <f>IF(ISNUMBER((I14-AB14+L14)/(F14)),(I14-AB14+L14)/(F14)," - ")</f>
        <v>-1.2857142857142858</v>
      </c>
      <c r="BM14" s="1203">
        <f>SUBTOTAL(9,BM9:BM13)</f>
        <v>-3.8461538461538464E-2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536</v>
      </c>
      <c r="G17" s="743">
        <f>IF(ISNUMBER(IF(D_I="SI",Datos!I17,Datos!I17+Datos!AC17)),IF(D_I="SI",Datos!I17,Datos!I17+Datos!AC17)," - ")</f>
        <v>532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402</v>
      </c>
      <c r="AC17" s="240">
        <f>IF(ISNUMBER(Datos!Q17),Datos!Q17," - ")</f>
        <v>32</v>
      </c>
      <c r="AD17" s="374"/>
      <c r="AE17" s="562"/>
      <c r="AF17" s="741">
        <f>IF(ISNUMBER(IF(D_I="SI",Datos!L17,Datos!L17+Datos!AF17)),IF(D_I="SI",Datos!L17,Datos!L17+Datos!AF17)," - ")</f>
        <v>533</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226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1.0075187969924813</v>
      </c>
      <c r="BH17" s="764">
        <f>IF(ISNUMBER(((IF(D_I="SI",Datos!L17/Datos!K17,(Datos!L17+Datos!AF17)/(Datos!K17+Datos!AE17)))*11)/factor_trimestre),((IF(D_I="SI",Datos!L17/Datos!K17,(Datos!L17+Datos!AF17)/(Datos!K17+Datos!AE17)))*11)/factor_trimestre," - ")</f>
        <v>3.9776119402985075</v>
      </c>
      <c r="BI17" s="266">
        <f>IF(ISNUMBER('Resol  Asuntos'!D17/NºAsuntos!G17),'Resol  Asuntos'!D17/NºAsuntos!G17," - ")</f>
        <v>0.13432835820895522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14</v>
      </c>
      <c r="AD18" s="549"/>
      <c r="AE18" s="562"/>
      <c r="AF18" s="551">
        <f>IF(ISNUMBER(Datos!L18),Datos!L18,"-")</f>
        <v>128</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6.1935483870967749</v>
      </c>
      <c r="BI18" s="763">
        <f>IF(ISNUMBER('Resol  Asuntos'!D18/NºAsuntos!G18),'Resol  Asuntos'!D18/NºAsuntos!G18," - ")</f>
        <v>0.29032258064516131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536</v>
      </c>
      <c r="G23" s="1197">
        <f>SUBTOTAL(9,G16:G22)</f>
        <v>660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464</v>
      </c>
      <c r="AC23" s="1198">
        <f t="shared" si="5"/>
        <v>46</v>
      </c>
      <c r="AD23" s="1198">
        <f t="shared" si="5"/>
        <v>0</v>
      </c>
      <c r="AE23" s="1198">
        <f t="shared" si="5"/>
        <v>0</v>
      </c>
      <c r="AF23" s="1198">
        <f t="shared" si="5"/>
        <v>661</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72</v>
      </c>
      <c r="BD23" s="1198">
        <f t="shared" si="5"/>
        <v>246</v>
      </c>
      <c r="BE23" s="1198">
        <f t="shared" si="5"/>
        <v>0</v>
      </c>
      <c r="BF23" s="1198">
        <f t="shared" si="5"/>
        <v>0</v>
      </c>
      <c r="BG23" s="1198">
        <f>IF(ISNUMBER(Datos!K23/Datos!J23),Datos!K23/Datos!J23," - ")</f>
        <v>1.0065075921908895</v>
      </c>
      <c r="BH23" s="1202">
        <f>IF(ISNUMBER(((Datos!L23/Datos!K23)*11)/factor_trimestre),((Datos!L23/Datos!K23)*11)/factor_trimestre," - ")</f>
        <v>4.2737068965517242</v>
      </c>
      <c r="BI23" s="1198">
        <f>SUBTOTAL(9,BI16:BI22)</f>
        <v>0.42465093885411653</v>
      </c>
      <c r="BJ23" s="1198">
        <f>SUBTOTAL(9,BJ16:BJ22)</f>
        <v>0</v>
      </c>
      <c r="BK23" s="1198">
        <f>SUBTOTAL(9,BK16:BK22)</f>
        <v>0</v>
      </c>
      <c r="BL23" s="1198">
        <f>IF(ISNUMBER((I23-AB23+L23)/(F23)),(I23-AB23+L23)/(F23)," - ")</f>
        <v>-0.86567164179104472</v>
      </c>
      <c r="BM23" s="1205">
        <f>IF(ISNUMBER((Datos!P23-Datos!Q23)/(Datos!R23-Datos!P23+Datos!Q23)),(Datos!P23-Datos!Q23)/(Datos!R23-Datos!P23+Datos!Q23)," - ")</f>
        <v>-0.28235294117647058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550</v>
      </c>
      <c r="G31" s="1117">
        <f t="shared" si="18"/>
        <v>674</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482</v>
      </c>
      <c r="AC31" s="1118">
        <f t="shared" si="19"/>
        <v>180</v>
      </c>
      <c r="AD31" s="1118">
        <f t="shared" si="19"/>
        <v>0</v>
      </c>
      <c r="AE31" s="1118">
        <f t="shared" si="19"/>
        <v>0</v>
      </c>
      <c r="AF31" s="1125">
        <f t="shared" si="19"/>
        <v>704</v>
      </c>
      <c r="AG31" s="1125">
        <f t="shared" si="19"/>
        <v>0</v>
      </c>
      <c r="AH31" s="1125">
        <f t="shared" si="19"/>
        <v>32</v>
      </c>
      <c r="AI31" s="1125">
        <f t="shared" si="19"/>
        <v>0</v>
      </c>
      <c r="AJ31" s="1118">
        <f t="shared" si="19"/>
        <v>0</v>
      </c>
      <c r="AK31" s="1125">
        <f t="shared" si="19"/>
        <v>0</v>
      </c>
      <c r="AL31" s="1125">
        <f t="shared" si="19"/>
        <v>0</v>
      </c>
      <c r="AM31" s="1125">
        <f t="shared" si="19"/>
        <v>786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132</v>
      </c>
      <c r="BD31" s="1117">
        <f t="shared" si="19"/>
        <v>389</v>
      </c>
      <c r="BE31" s="1117">
        <f t="shared" si="19"/>
        <v>0</v>
      </c>
      <c r="BF31" s="1127">
        <f t="shared" si="19"/>
        <v>0</v>
      </c>
      <c r="BG31" s="1223">
        <f>IF(ISNUMBER(Datos!K31/Datos!J31),Datos!K31/Datos!J31," - ")</f>
        <v>0.87391841779975277</v>
      </c>
      <c r="BH31" s="1223">
        <f>IF(ISNUMBER(((Datos!L31/Datos!K31)*11)/factor_trimestre),((Datos!L31/Datos!K31)*11)/factor_trimestre," - ")</f>
        <v>5.9321074964639324</v>
      </c>
      <c r="BI31" s="1103">
        <f>IF(ISNUMBER(Datos!J31/Datos!I31),Datos!J31/Datos!I31," - ")</f>
        <v>0.62616099071207432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-0.87636363636363634</v>
      </c>
      <c r="BM31" s="1188">
        <f>IF(ISNUMBER((Datos!P31-Datos!Q31+R31)/(Datos!R31-Datos!P31+Datos!Q31-R31)),(Datos!P31-Datos!Q31+R31)/(Datos!R31-Datos!P31+Datos!Q31-R31)," - ")</f>
        <v>-6.3170441001191902E-2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273.24616496241384</v>
      </c>
      <c r="G33" s="674">
        <f>IF(ISNUMBER(STDEV(G8:G30)),STDEV(G8:G30),"-")</f>
        <v>281.60661518204029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203.56629901640915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30.147257634105674</v>
      </c>
      <c r="BD33" s="673"/>
      <c r="BE33" s="673">
        <f>IF(ISNUMBER(STDEV(BE8:BE30)),STDEV(BE8:BE30),"-")</f>
        <v>0</v>
      </c>
      <c r="BF33" s="678">
        <f>IF(ISNUMBER(STDEV(BF8:BF30)),STDEV(BF8:BF30),"-")</f>
        <v>0</v>
      </c>
      <c r="BG33" s="1052">
        <f>IF(ISNUMBER(STDEV(BG8:BG30)),STDEV(BG8:BG30),"-")</f>
        <v>0.24844448920714948</v>
      </c>
      <c r="BH33" s="1058">
        <f>IF(ISNUMBER(STDEV(BH8:BH30)),STDEV(BH8:BH30),"-")</f>
        <v>2.0819701545470588</v>
      </c>
      <c r="BI33" s="273">
        <f>IF(ISNUMBER(STDEV(BI8:BI30)),STDEV(BI8:BI30),"-")</f>
        <v>0.12373635891387558</v>
      </c>
      <c r="BJ33" s="244" t="str">
        <f>IF(ISNUMBER(BL33/BM33),BL33/BM33," - ")</f>
        <v xml:space="preserve"> - </v>
      </c>
      <c r="BK33" s="709"/>
      <c r="BL33" s="681">
        <f>IF(ISNUMBER(STDEV(BL8:BL30)),STDEV(BL8:BL30),"-")</f>
        <v>0.29701500190564983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lHS/cKSo6tXF5Ugn+gBTXUCyGyd/Vk9RHoPzrUIvVkNDNPeDj7ptvXvucMDtDplZknx19xGjf1ZbqjeQ7oovw==" saltValue="zaGnw7QBThdJy0nOuOQz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EIBAR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43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7.166666666666667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134</v>
      </c>
      <c r="AA12" s="551" t="str">
        <f>IF(ISNUMBER(IF(J_V="SI",Datos!L12,Datos!L12+Datos!AB12)-IF(Monitorios="SI",Datos!CD12,0)),
                          IF(J_V="SI",Datos!L12,Datos!L12+Datos!AB12)-IF(Monitorios="SI",Datos!CD12,0),
                          " - ")</f>
        <v xml:space="preserve"> - </v>
      </c>
      <c r="AB12" s="549"/>
      <c r="AC12" s="549"/>
      <c r="AD12" s="563"/>
      <c r="AE12" s="563">
        <f>IF(ISNUMBER(Datos!R12),Datos!R12," - ")</f>
        <v>725</v>
      </c>
      <c r="AF12" s="693" t="str">
        <f>IF(ISNUMBER(Datos!BV12),Datos!BV12," - ")</f>
        <v xml:space="preserve"> - </v>
      </c>
      <c r="AG12" s="552" t="str">
        <f>IF(ISNUMBER(Datos!DV12),Datos!DV12," - ")</f>
        <v xml:space="preserve"> - </v>
      </c>
      <c r="AH12" s="553"/>
      <c r="AI12" s="554"/>
      <c r="AJ12" s="552">
        <f>IF(ISNUMBER(Datos!M12),Datos!M12," - ")</f>
        <v>55</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-3.8461538461538464E-2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134</v>
      </c>
      <c r="AA14" s="1199">
        <f t="shared" si="3"/>
        <v>43</v>
      </c>
      <c r="AB14" s="1199">
        <f t="shared" si="3"/>
        <v>0</v>
      </c>
      <c r="AC14" s="1199">
        <f t="shared" si="3"/>
        <v>0</v>
      </c>
      <c r="AD14" s="1199">
        <f t="shared" si="3"/>
        <v>0</v>
      </c>
      <c r="AE14" s="1199">
        <f t="shared" si="3"/>
        <v>725</v>
      </c>
      <c r="AF14" s="1211">
        <f t="shared" si="3"/>
        <v>0</v>
      </c>
      <c r="AG14" s="1211">
        <f t="shared" si="3"/>
        <v>0</v>
      </c>
      <c r="AH14" s="1211">
        <f t="shared" si="3"/>
        <v>0</v>
      </c>
      <c r="AI14" s="1211">
        <f t="shared" si="3"/>
        <v>0</v>
      </c>
      <c r="AJ14" s="1211">
        <f t="shared" si="3"/>
        <v>60</v>
      </c>
      <c r="AK14" s="1211">
        <f t="shared" si="3"/>
        <v>143</v>
      </c>
      <c r="AL14" s="1211">
        <f t="shared" si="3"/>
        <v>0</v>
      </c>
      <c r="AM14" s="1211">
        <f t="shared" si="3"/>
        <v>0</v>
      </c>
      <c r="AN14" s="1211">
        <f t="shared" si="3"/>
        <v>0</v>
      </c>
      <c r="AO14" s="1203">
        <f>IF(ISNUMBER(((NºAsuntos!I14/NºAsuntos!G14)*11)/factor_trimestre),((NºAsuntos!I14/NºAsuntos!G14)*11)/factor_trimestre," - ")</f>
        <v>8.1808510638297882</v>
      </c>
      <c r="AP14" s="1213" t="str">
        <f>IF(ISNUMBER(Datos!CI14/Datos!CJ14),Datos!CI14/Datos!CJ14," - ")</f>
        <v xml:space="preserve"> - </v>
      </c>
      <c r="AQ14" s="1236">
        <f t="shared" ref="AQ14:AV14" si="4">SUBTOTAL(9,AQ9:AQ13)</f>
        <v>0</v>
      </c>
      <c r="AR14" s="1236">
        <f t="shared" si="4"/>
        <v>-3.8461538461538464E-2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536</v>
      </c>
      <c r="G17" s="552">
        <f>IF(ISNUMBER(IF(D_I="SI",Datos!I17,Datos!I17+Datos!AC17)),IF(D_I="SI",Datos!I17,Datos!I17+Datos!AC17)," - ")</f>
        <v>532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402</v>
      </c>
      <c r="Z17" s="805">
        <f>IF(ISNUMBER(Datos!Q17),Datos!Q17," - ")</f>
        <v>32</v>
      </c>
      <c r="AA17" s="551">
        <f>IF(ISNUMBER(IF(D_I="SI",Datos!L17,Datos!L17+Datos!AF17)),IF(D_I="SI",Datos!L17,Datos!L17+Datos!AF17)," - ")</f>
        <v>533</v>
      </c>
      <c r="AB17" s="549"/>
      <c r="AC17" s="549"/>
      <c r="AD17" s="563"/>
      <c r="AE17" s="563">
        <f>IF(ISNUMBER(Datos!R17),Datos!R17," - ")</f>
        <v>50</v>
      </c>
      <c r="AF17" s="693" t="str">
        <f>IF(ISNUMBER(Datos!BV17),Datos!BV17," - ")</f>
        <v xml:space="preserve"> - </v>
      </c>
      <c r="AG17" s="552"/>
      <c r="AH17" s="553"/>
      <c r="AI17" s="554"/>
      <c r="AJ17" s="552">
        <f>IF(ISNUMBER(Datos!M17),Datos!M17," - ")</f>
        <v>54</v>
      </c>
      <c r="AK17" s="693">
        <f>IF(ISNUMBER(Datos!N17),Datos!N17," - ")</f>
        <v>226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3.9776119402985075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14</v>
      </c>
      <c r="AA18" s="551">
        <f>IF(ISNUMBER(Datos!L18),Datos!L18,"-")</f>
        <v>128</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18</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6.1935483870967749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536</v>
      </c>
      <c r="G23" s="1197">
        <f>SUBTOTAL(9,G16:G22)</f>
        <v>660</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464</v>
      </c>
      <c r="Z23" s="1240">
        <f t="shared" si="6"/>
        <v>46</v>
      </c>
      <c r="AA23" s="1240">
        <f t="shared" si="6"/>
        <v>661</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72</v>
      </c>
      <c r="AK23" s="1240">
        <f t="shared" si="6"/>
        <v>246</v>
      </c>
      <c r="AL23" s="1240">
        <f t="shared" si="6"/>
        <v>0</v>
      </c>
      <c r="AM23" s="1240">
        <f t="shared" si="6"/>
        <v>0</v>
      </c>
      <c r="AN23" s="1240">
        <f t="shared" si="6"/>
        <v>0</v>
      </c>
      <c r="AO23" s="1242">
        <f>IF(ISNUMBER(((NºAsuntos!I23/NºAsuntos!G23)*11)/factor_trimestre),((NºAsuntos!I23/NºAsuntos!G23)*11)/factor_trimestre," - ")</f>
        <v>4.2737068965517242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550</v>
      </c>
      <c r="G31" s="1117">
        <f t="shared" si="12"/>
        <v>674</v>
      </c>
      <c r="H31" s="1118">
        <f t="shared" si="12"/>
        <v>0</v>
      </c>
      <c r="I31" s="1117">
        <f t="shared" si="12"/>
        <v>0</v>
      </c>
      <c r="J31" s="1119">
        <f t="shared" si="12"/>
        <v>0</v>
      </c>
      <c r="K31" s="1117">
        <f t="shared" si="12"/>
        <v>0</v>
      </c>
      <c r="L31" s="1120">
        <f t="shared" si="12"/>
        <v>0</v>
      </c>
      <c r="M31" s="1117">
        <f t="shared" si="12"/>
        <v>0</v>
      </c>
      <c r="N31" s="1118">
        <f t="shared" si="12"/>
        <v>127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482</v>
      </c>
      <c r="Z31" s="1124">
        <f t="shared" si="13"/>
        <v>180</v>
      </c>
      <c r="AA31" s="1125">
        <f t="shared" si="13"/>
        <v>704</v>
      </c>
      <c r="AB31" s="1125">
        <f t="shared" si="13"/>
        <v>0</v>
      </c>
      <c r="AC31" s="1125">
        <f t="shared" si="13"/>
        <v>0</v>
      </c>
      <c r="AD31" s="1126">
        <f t="shared" si="13"/>
        <v>0</v>
      </c>
      <c r="AE31" s="1126">
        <f t="shared" si="13"/>
        <v>786</v>
      </c>
      <c r="AF31" s="1127">
        <f t="shared" si="13"/>
        <v>0</v>
      </c>
      <c r="AG31" s="1128">
        <f t="shared" si="13"/>
        <v>0</v>
      </c>
      <c r="AH31" s="1129">
        <f t="shared" si="13"/>
        <v>0</v>
      </c>
      <c r="AI31" s="1127">
        <f t="shared" si="13"/>
        <v>0</v>
      </c>
      <c r="AJ31" s="1117">
        <f t="shared" si="13"/>
        <v>132</v>
      </c>
      <c r="AK31" s="1117">
        <f t="shared" si="13"/>
        <v>389</v>
      </c>
      <c r="AL31" s="1117">
        <f t="shared" si="13"/>
        <v>0</v>
      </c>
      <c r="AM31" s="1130">
        <f t="shared" si="13"/>
        <v>0</v>
      </c>
      <c r="AN31" s="1120">
        <f>IF(ISNUMBER(Datos!K31/Datos!J31),Datos!K31/Datos!J31," - ")</f>
        <v>0.87391841779975277</v>
      </c>
      <c r="AO31" s="1120">
        <f>IF(ISNUMBER(FIND("06",Criterios!A8,1)),(IF(ISNUMBER(((Datos!R31/Datos!Q31)*11)/factor_trimestre),((Datos!R31/Datos!Q31)*11)/factor_trimestre," - ")),(IF(ISNUMBER(((Datos!L31/Datos!K31)*11)/factor_trimestre),((Datos!L31/Datos!K31)*11)/factor_trimestre," - ")))</f>
        <v>5.9321074964639324</v>
      </c>
      <c r="AP31" s="1131" t="str">
        <f>IF(ISNUMBER(Datos!CI31/Datos!CJ31),Datos!CI31/Datos!CJ31," - ")</f>
        <v xml:space="preserve"> - </v>
      </c>
      <c r="AQ31" s="1131">
        <f>IF(OR(ISNUMBER(FIND("01",Criterios!A8,1)),ISNUMBER(FIND("02",Criterios!A8,1)),ISNUMBER(FIND("03",Criterios!A8,1)),ISNUMBER(FIND("04",Criterios!A8,1))),(J31-Y31+K31)/(F31-K31),(I31-Y31+K31)/(F31-K31))</f>
        <v>-0.87636363636363634</v>
      </c>
      <c r="AR31" s="1131">
        <f>IF(ISNUMBER((Datos!P31-Datos!Q31+O31)/(Datos!R31-Datos!P31+Datos!Q31-O31)),(Datos!P31-Datos!Q31+O31)/(Datos!R31-Datos!P31+Datos!Q31-O31)," - ")</f>
        <v>-6.3170441001191902E-2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273.24616496241384</v>
      </c>
      <c r="G33" s="674">
        <f>IF(ISNUMBER(STDEV(G8:G30)),STDEV(G8:G30),"-")</f>
        <v>281.60661518204029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30.147257634105674</v>
      </c>
      <c r="AK33" s="276"/>
      <c r="AL33" s="276">
        <f>IF(ISNUMBER(STDEV(AL8:AL30)),STDEV(AL8:AL30),"-")</f>
        <v>0</v>
      </c>
      <c r="AM33" s="278">
        <f>IF(ISNUMBER(STDEV(AM8:AM30)),STDEV(AM8:AM30),"-")</f>
        <v>0</v>
      </c>
      <c r="AN33" s="660">
        <f>IF(ISNUMBER(STDEV(AN8:AN30)),STDEV(AN8:AN30),"-")</f>
        <v>0</v>
      </c>
      <c r="AO33" s="661">
        <f>IF(ISNUMBER(STDEV(AO8:AO30)),STDEV(AO8:AO30),"-")</f>
        <v>1.8757452960292778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oqZo2Fuf2d9EF7B9Y6z0q2vgdCQbsbW8DL9GV8Ru9HsowzVooOAkRUrSQxrKgU+es8QuBQhkYkqibWzXAjDLw==" saltValue="nkEK9izfsNRr2S5jex8L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zMqHFfno8WNeKdAD+oQ3lfRfkHFfWRO4Aqf6ODelVuhyrDuKAcG0x7U35a/XNQcXWy14Jco5oXQbP3/QsnMcA==" saltValue="2DSXxes5K5QPxKJGIj7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y4hUoHjZgu4veD37591wQ37mh5jlMnGnPXvjnb5O6qT9dxzXSWin17NYpnMr0nClTEbUd5yA6HDu2J6b5UQ==" saltValue="W7wYu6BQDVRQaPXclQEy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EIBAR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0.21276595744680851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0.1504482513162867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gTpi9FU/Zh1vWrRCN8MnaLL8X8WYopkbu63Xg+AHMl+39AxmDsxadCveCfVGStE+ZpxLXpSHQpogOGybvuOHA==" saltValue="azZb4uCLVePMRhmA2HYy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EPanibcZBoZXiQvN/H4Pd2vHHPwlOcoe/7LSf5i3jKzIyPaXcPC1LbqknuohzzL13/4ell0otJarWFTc7drSA==" saltValue="cFS3FF4YaVHnALPnZQ6P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EIBAR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47</v>
      </c>
      <c r="F10" s="452">
        <f>IF(ISNUMBER(E10/B10),E10/B10," - ")</f>
        <v>47</v>
      </c>
      <c r="G10" s="451">
        <f>IF(ISNUMBER(Datos!K10),Datos!K10," - ")</f>
        <v>18</v>
      </c>
      <c r="H10" s="452">
        <f>IF(ISNUMBER(G10/B10),G10/B10," - ")</f>
        <v>18</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658</v>
      </c>
      <c r="D12" s="452">
        <f>IF(ISNUMBER(C12/Datos!BH12),C12/Datos!BH12," - ")</f>
        <v>329</v>
      </c>
      <c r="E12" s="451">
        <f>IF(ISNUMBER(IF(J_V="SI",Datos!J12,Datos!J12+Datos!Z12)),IF(J_V="SI",Datos!J12,Datos!J12+Datos!Z12)," - ")</f>
        <v>332</v>
      </c>
      <c r="F12" s="452">
        <f>IF(ISNUMBER(E12/B12),E12/B12," - ")</f>
        <v>166</v>
      </c>
      <c r="G12" s="451">
        <f>IF(ISNUMBER(IF(J_V="SI",Datos!K12,Datos!K12+Datos!AA12)),IF(J_V="SI",Datos!K12,Datos!K12+Datos!AA12)," - ")</f>
        <v>264</v>
      </c>
      <c r="H12" s="452">
        <f>IF(ISNUMBER(G12/B12),G12/B12," - ")</f>
        <v>132</v>
      </c>
      <c r="I12" s="451">
        <f>IF(ISNUMBER(IF(J_V="SI",Datos!L12,Datos!L12+Datos!AB12)),IF(J_V="SI",Datos!L12,Datos!L12+Datos!AB12)," - ")</f>
        <v>726</v>
      </c>
      <c r="J12" s="452">
        <f>IF(ISNUMBER(I12/B12),I12/B12," - ")</f>
        <v>363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672</v>
      </c>
      <c r="D14" s="1147" t="str">
        <f>IF(ISNUMBER(C14/Datos!BI14),C14/Datos!BI14," - ")</f>
        <v xml:space="preserve"> - </v>
      </c>
      <c r="E14" s="1146">
        <f>SUBTOTAL(9,E8:E13)</f>
        <v>379</v>
      </c>
      <c r="F14" s="1147">
        <f>IF(ISNUMBER(E14/B14),E14/B14," - ")</f>
        <v>189.5</v>
      </c>
      <c r="G14" s="1146">
        <f>SUBTOTAL(9,G8:G13)</f>
        <v>282</v>
      </c>
      <c r="H14" s="1147">
        <f>IF(ISNUMBER(G14/B14),G14/B14," - ")</f>
        <v>141</v>
      </c>
      <c r="I14" s="1146">
        <f>SUBTOTAL(9,I8:I13)</f>
        <v>769</v>
      </c>
      <c r="J14" s="1147">
        <f>IF(ISNUMBER(I14/B14),I14/B14," - ")</f>
        <v>384.5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532</v>
      </c>
      <c r="D17" s="452">
        <f>IF(ISNUMBER(C17/Datos!BH17),C17/Datos!BH17," - ")</f>
        <v>266</v>
      </c>
      <c r="E17" s="451">
        <f>IF(ISNUMBER(IF(D_I="SI",Datos!J17,Datos!J17+Datos!AD17)),IF(D_I="SI",Datos!J17,Datos!J17+Datos!AD17)," - ")</f>
        <v>399</v>
      </c>
      <c r="F17" s="452">
        <f>IF(ISNUMBER(E17/B17),E17/B17," - ")</f>
        <v>199.5</v>
      </c>
      <c r="G17" s="451">
        <f>IF(ISNUMBER(IF(D_I="SI",Datos!K17,Datos!K17+Datos!AE17)),IF(D_I="SI",Datos!K17,Datos!K17+Datos!AE17)," - ")</f>
        <v>402</v>
      </c>
      <c r="H17" s="452">
        <f>IF(ISNUMBER(G17/B17),G17/B17," - ")</f>
        <v>201</v>
      </c>
      <c r="I17" s="451">
        <f>IF(ISNUMBER(IF(D_I="SI",Datos!L17,Datos!L17+Datos!AF17)),IF(D_I="SI",Datos!L17,Datos!L17+Datos!AF17)," - ")</f>
        <v>533</v>
      </c>
      <c r="J17" s="452">
        <f>IF(ISNUMBER(I17/B17),I17/B17," - ")</f>
        <v>266.5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62</v>
      </c>
      <c r="F18" s="452">
        <f>IF(ISNUMBER(E18/B18),E18/B18," - ")</f>
        <v>62</v>
      </c>
      <c r="G18" s="451">
        <f>IF(ISNUMBER(IF(D_I="SI",Datos!K18,Datos!K18+Datos!AE18)),IF(D_I="SI",Datos!K18,Datos!K18+Datos!AE18)," - ")</f>
        <v>62</v>
      </c>
      <c r="H18" s="452">
        <f>IF(ISNUMBER(G18/B18),G18/B18," - ")</f>
        <v>62</v>
      </c>
      <c r="I18" s="451">
        <f>IF(ISNUMBER(IF(D_I="SI",Datos!L18,Datos!L18+Datos!AF18)),IF(D_I="SI",Datos!L18,Datos!L18+Datos!AF18)," - ")</f>
        <v>128</v>
      </c>
      <c r="J18" s="452">
        <f>IF(ISNUMBER(I18/B18),I18/B18," - ")</f>
        <v>128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660</v>
      </c>
      <c r="D23" s="1147" t="str">
        <f>IF(ISNUMBER(C23/Datos!BI23),C23/Datos!BI23," - ")</f>
        <v xml:space="preserve"> - </v>
      </c>
      <c r="E23" s="1146">
        <f>SUBTOTAL(9,E15:E22)</f>
        <v>461</v>
      </c>
      <c r="F23" s="1147">
        <f>IF(ISNUMBER(E23/B23),E23/B23," - ")</f>
        <v>230.5</v>
      </c>
      <c r="G23" s="1146">
        <f>SUBTOTAL(9,G15:G22)</f>
        <v>464</v>
      </c>
      <c r="H23" s="1147">
        <f>IF(ISNUMBER(G23/B23),G23/B23," - ")</f>
        <v>232</v>
      </c>
      <c r="I23" s="1146">
        <f>SUBTOTAL(9,I15:I22)</f>
        <v>661</v>
      </c>
      <c r="J23" s="1147">
        <f>IF(ISNUMBER(I23/B23),I23/B23," - ")</f>
        <v>330.5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1332</v>
      </c>
      <c r="D31" s="1085" t="str">
        <f>IF(ISNUMBER(C31/Datos!BI31),C31/Datos!BI31," - ")</f>
        <v xml:space="preserve"> - </v>
      </c>
      <c r="E31" s="1084">
        <f>SUBTOTAL(9,E9:E30)</f>
        <v>840</v>
      </c>
      <c r="F31" s="1085">
        <f>IF(ISNUMBER(E31/B31),E31/B31," - ")</f>
        <v>420</v>
      </c>
      <c r="G31" s="1084">
        <f>SUBTOTAL(9,G9:G30)</f>
        <v>746</v>
      </c>
      <c r="H31" s="1085">
        <f>IF(ISNUMBER(G31/B31),G31/B31," - ")</f>
        <v>373</v>
      </c>
      <c r="I31" s="1084">
        <f>SUBTOTAL(9,I9:I30)</f>
        <v>1430</v>
      </c>
      <c r="J31" s="1085">
        <f>IF(ISNUMBER(I31/B31),I31/B31," - ")</f>
        <v>715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N+j+RENwsPhjvHgiKP1bsh3pxZ3iwfoCNQ7DpZSlM2ItKZiM46jRUjEpL23OlsgxWEQ+bd/aXumOrVA2FYWFg==" saltValue="9tMgkKc/tRd2ZwFBL8D+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EIBAR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7.166666666666667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-3.8461538461538464E-2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134</v>
      </c>
      <c r="AE14" s="1257">
        <f t="shared" si="1"/>
        <v>0</v>
      </c>
      <c r="AF14" s="1257">
        <f t="shared" si="1"/>
        <v>43</v>
      </c>
      <c r="AG14" s="1257">
        <f t="shared" si="1"/>
        <v>0</v>
      </c>
      <c r="AH14" s="1257">
        <f t="shared" si="1"/>
        <v>725</v>
      </c>
      <c r="AI14" s="1257">
        <f t="shared" si="1"/>
        <v>0</v>
      </c>
      <c r="AJ14" s="1257">
        <f t="shared" si="1"/>
        <v>0</v>
      </c>
      <c r="AK14" s="1257">
        <f t="shared" si="1"/>
        <v>0</v>
      </c>
      <c r="AL14" s="1257">
        <f t="shared" si="1"/>
        <v>60</v>
      </c>
      <c r="AM14" s="1257">
        <f t="shared" si="1"/>
        <v>143</v>
      </c>
      <c r="AN14" s="1257">
        <f t="shared" si="1"/>
        <v>0</v>
      </c>
      <c r="AO14" s="1257">
        <f t="shared" si="1"/>
        <v>0</v>
      </c>
      <c r="AP14" s="1262">
        <f>IF(ISNUMBER(((Datos!L14/Datos!K14)*11)/factor_trimestre),((Datos!L14/Datos!K14)*11)/factor_trimestre," - ")</f>
        <v>9.0987654320987659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-1.2857142857142858</v>
      </c>
      <c r="AU14" s="1257" t="str">
        <f>IF(ISNUMBER((DatosP!#REF!-DatosP!#REF!+DatosP!#REF!)/(DatosP!#REF!+DatosP!#REF!-DatosP!#REF!-DatosP!#REF!)),(DatosP!#REF!-DatosP!#REF!+DatosP!#REF!)/(DatosP!#REF!+DatosP!#REF!-DatosP!#REF!-DatosP!#REF!)," - ")</f>
        <v xml:space="preserve"> - </v>
      </c>
      <c r="AV14" s="1263">
        <f>SUBTOTAL(9,AV9:AV13)</f>
        <v>-3.8461538461538464E-2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4.2737068965517242</v>
      </c>
      <c r="AQ23" s="1262">
        <f>IF(ISNUMBER(((Datos!M23/Datos!L23)*11)/factor_trimestre),((Datos!M23/Datos!L23)*11)/factor_trimestre," - ")</f>
        <v>0.32677760968229952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-0.28235294117647058</v>
      </c>
      <c r="AW23" s="1265">
        <f>IF(ISNUMBER((Datos!Q23-Datos!R23)/(Datos!S23-Datos!Q23+Datos!R23)),(Datos!Q23-Datos!R23)/(Datos!S23-Datos!Q23+Datos!R23)," - ")</f>
        <v>-2.6690391459074734E-2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134</v>
      </c>
      <c r="AE31" s="1284">
        <f t="shared" si="9"/>
        <v>0</v>
      </c>
      <c r="AF31" s="1285">
        <f t="shared" si="9"/>
        <v>43</v>
      </c>
      <c r="AG31" s="1285">
        <f t="shared" si="9"/>
        <v>0</v>
      </c>
      <c r="AH31" s="1285">
        <f t="shared" si="9"/>
        <v>725</v>
      </c>
      <c r="AI31" s="1285">
        <f t="shared" si="9"/>
        <v>0</v>
      </c>
      <c r="AJ31" s="1286">
        <f t="shared" si="9"/>
        <v>0</v>
      </c>
      <c r="AK31" s="1286">
        <f t="shared" si="9"/>
        <v>0</v>
      </c>
      <c r="AL31" s="1278">
        <f t="shared" si="9"/>
        <v>60</v>
      </c>
      <c r="AM31" s="1278">
        <f t="shared" si="9"/>
        <v>143</v>
      </c>
      <c r="AN31" s="1278">
        <f t="shared" si="9"/>
        <v>0</v>
      </c>
      <c r="AO31" s="1278">
        <f t="shared" si="9"/>
        <v>0</v>
      </c>
      <c r="AP31" s="1278">
        <f>IF(ISNUMBER(((Datos!L31/Datos!K31)*11)/factor_trimestre),((Datos!L31/Datos!K31)*11)/factor_trimestre," - ")</f>
        <v>5.9321074964639324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-1.2857142857142858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-6.3170441001191902E-2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29.154759474226502</v>
      </c>
      <c r="AM33" s="1006"/>
      <c r="AN33" s="1006">
        <f>IF(ISNUMBER(STDEV(AN8:AN30)),STDEV(AN8:AN30),"-")</f>
        <v>0</v>
      </c>
      <c r="AO33" s="1012">
        <f>IF(ISNUMBER(STDEV(AO8:AO30)),STDEV(AO8:AO30),"-")</f>
        <v>0</v>
      </c>
      <c r="AP33" s="1065">
        <f>IF(ISNUMBER(STDEV(AP8:AP30)),STDEV(AP8:AP30),"-")</f>
        <v>2.1033372779290174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mxdUe3DjK1y/lDeN865rIlI/wJI1w8bYD59O1OQTpSBOViBp0uhYtijrlmIn5bNEslAdPcBiwYn3vPh328JZw==" saltValue="zC6jTg81tBHgkgqXUFmu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EIBAR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FxTcZCpsemlk12GNSEGMFVV3sVs5WUjErAFNW3sbacQq7tMrKshnM6NM6GAOSDmrG2rATDbxIoqF3BRWpxKg==" saltValue="siDXm8DlRXQUp605SD0q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EIBAR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8</v>
      </c>
      <c r="G10" s="452">
        <f>IF(ISNUMBER(F10/B10),F10/B10," - ")</f>
        <v>8</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55</v>
      </c>
      <c r="E12" s="452">
        <f t="shared" si="0"/>
        <v>27.5</v>
      </c>
      <c r="F12" s="451">
        <f>IF(ISNUMBER(Datos!N12),Datos!N12," - ")</f>
        <v>135</v>
      </c>
      <c r="G12" s="452">
        <f t="shared" si="1"/>
        <v>67.5</v>
      </c>
      <c r="H12" s="451">
        <f>IF(ISNUMBER(Datos!O12),Datos!O12," - ")</f>
        <v>120</v>
      </c>
      <c r="I12" s="452">
        <f t="shared" si="2"/>
        <v>60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143</v>
      </c>
      <c r="G14" s="1147">
        <f t="shared" si="1"/>
        <v>47.666666666666664</v>
      </c>
      <c r="H14" s="1146">
        <f>SUBTOTAL(9,H9:H13)</f>
        <v>125</v>
      </c>
      <c r="I14" s="1147">
        <f>IF(ISNUMBER(H14/B14),H14/B14," - ")</f>
        <v>41.666666666666664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54</v>
      </c>
      <c r="E17" s="452">
        <f t="shared" si="3"/>
        <v>27</v>
      </c>
      <c r="F17" s="451">
        <f>IF(ISNUMBER(Datos!N17),Datos!N17," - ")</f>
        <v>226</v>
      </c>
      <c r="G17" s="452">
        <f t="shared" si="4"/>
        <v>113</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20</v>
      </c>
      <c r="G18" s="452">
        <f>IF(ISNUMBER(F18/B18),F18/B18," - ")</f>
        <v>20</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72</v>
      </c>
      <c r="E23" s="1147">
        <f t="shared" si="3"/>
        <v>24</v>
      </c>
      <c r="F23" s="1146">
        <f>SUBTOTAL(9,F16:F22)</f>
        <v>246</v>
      </c>
      <c r="G23" s="1147">
        <f t="shared" si="4"/>
        <v>82</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132</v>
      </c>
      <c r="E31" s="1085">
        <f>IF(ISNUMBER(D31/B31),D31/B31," - ")</f>
        <v>66</v>
      </c>
      <c r="F31" s="1084">
        <f>SUBTOTAL(9,F8:F30)</f>
        <v>389</v>
      </c>
      <c r="G31" s="1085">
        <f>IF(ISNUMBER(F31/B31),F31/B31," - ")</f>
        <v>194.5</v>
      </c>
      <c r="H31" s="1084">
        <f>SUBTOTAL(9,H8:H30)</f>
        <v>134</v>
      </c>
      <c r="I31" s="1085">
        <f>IF(ISNUMBER(H31/B31),H31/B31," - ")</f>
        <v>67</v>
      </c>
    </row>
    <row r="34" spans="1:1">
      <c r="A34" s="439" t="str">
        <f>Criterios!A4</f>
        <v>Fecha Informe: 06 may. 2023</v>
      </c>
    </row>
    <row r="39" spans="1:1">
      <c r="A39" s="462"/>
    </row>
  </sheetData>
  <sheetProtection algorithmName="SHA-512" hashValue="BJ4UWdjFzyeM8w88ub45iznboyZsmEUjPmk0KLwvPLR5E+rFcUOJmuaLO1G+8POXmsrSOQTuTYv6zg8shmoOLg==" saltValue="3j8cPRERODvmkoYTz7ee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EIBAR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105</v>
      </c>
      <c r="C12" s="489">
        <f>IF(ISNUMBER(Datos!Q12),Datos!Q12," - ")</f>
        <v>134</v>
      </c>
      <c r="D12" s="456">
        <f>IF(ISNUMBER(Datos!R12),Datos!R12," - ")</f>
        <v>725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105</v>
      </c>
      <c r="C14" s="1150">
        <f>SUBTOTAL(9,C9:C13)</f>
        <v>134</v>
      </c>
      <c r="D14" s="1148">
        <f>SUBTOTAL(9,D9:D13)</f>
        <v>725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32</v>
      </c>
      <c r="D17" s="456">
        <f>IF(ISNUMBER(Datos!R17),Datos!R17," - ")</f>
        <v>50</v>
      </c>
    </row>
    <row r="18" spans="1:4">
      <c r="A18" s="450" t="str">
        <f>Datos!A18</f>
        <v>Jdos. Violencia contra la mujer</v>
      </c>
      <c r="B18" s="488">
        <f>IF(ISNUMBER(Datos!P18),Datos!P18," - ")</f>
        <v>9</v>
      </c>
      <c r="C18" s="489">
        <f>IF(ISNUMBER(Datos!Q18),Datos!Q18," - ")</f>
        <v>14</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46</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127</v>
      </c>
      <c r="C31" s="1089">
        <f>SUBTOTAL(9,C8:C30)</f>
        <v>180</v>
      </c>
      <c r="D31" s="1090">
        <f>SUBTOTAL(9,D8:D30)</f>
        <v>786</v>
      </c>
    </row>
    <row r="32" spans="1:4" ht="7.5" customHeight="1"/>
    <row r="33" spans="1:1" ht="6" customHeight="1"/>
    <row r="34" spans="1:1">
      <c r="A34" s="439" t="str">
        <f>Criterios!A4</f>
        <v>Fecha Informe: 06 may. 2023</v>
      </c>
    </row>
    <row r="39" spans="1:1">
      <c r="A39" s="462"/>
    </row>
  </sheetData>
  <sheetProtection algorithmName="SHA-512" hashValue="36/kE9HdO/1I56KTF5g7k31uituqYgzZDoRWRIvghe5QGS6XCxuaUdSg+UZnvJBLQr9NaIDvyh3lvZRBbJG3wA==" saltValue="ViLFNpqhgTKPXtmDzy8U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EIBAR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10.75</v>
      </c>
      <c r="D10" s="515">
        <f>IF(ISNUMBER((Datos!K10-Datos!U10)/Datos!U10),(Datos!K10-Datos!U10)/Datos!U10," - ")</f>
        <v>5</v>
      </c>
      <c r="E10" s="515">
        <f>IF(ISNUMBER((Datos!L10-Datos!V10)/Datos!V10),(Datos!L10-Datos!V10)/Datos!V10," - ")</f>
        <v>2.0714285714285716</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-0.48936170212765956</v>
      </c>
      <c r="I10" s="515">
        <f>IF(ISNUMBER(((NºAsuntos!I10/NºAsuntos!G10)-Datos!BE10)/Datos!BE10),((NºAsuntos!I10/NºAsuntos!G10)-Datos!BE10)/Datos!BE10," - ")</f>
        <v>-0.48809523809523814</v>
      </c>
      <c r="J10" s="521">
        <f>IF(ISNUMBER((('Resol  Asuntos'!D10/NºAsuntos!G10)-Datos!BF10)/Datos!BF10),(('Resol  Asuntos'!D10/NºAsuntos!G10)-Datos!BF10)/Datos!BF10," - ")</f>
        <v>-0.16666666666666657</v>
      </c>
      <c r="K10" s="522">
        <f>IF(ISNUMBER((((NºAsuntos!C10+NºAsuntos!E10)/NºAsuntos!G10)-Datos!BG10)/Datos!BG10),(((NºAsuntos!C10+NºAsuntos!E10)/NºAsuntos!G10)-Datos!BG10)/Datos!BG10," - ")</f>
        <v>-0.40196078431372551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0.53738317757009346</v>
      </c>
      <c r="C12" s="515">
        <f>IF(ISNUMBER(
   IF(J_V="SI",(Datos!J12-Datos!T12)/Datos!T12,(Datos!J12+Datos!Z12-(Datos!T12+Datos!AH12))/(Datos!T12+Datos!AH12))
     ),IF(J_V="SI",(Datos!J12-Datos!T12)/Datos!T12,(Datos!J12+Datos!Z12-(Datos!T12+Datos!AH12))/(Datos!T12+Datos!AH12))," - ")</f>
        <v>-7.2625698324022353E-2</v>
      </c>
      <c r="D12" s="515">
        <f>IF(ISNUMBER(
   IF(J_V="SI",(Datos!K12-Datos!U12)/Datos!U12,(Datos!K12+Datos!AA12-(Datos!U12+Datos!AI12))/(Datos!U12+Datos!AI12))
     ),IF(J_V="SI",(Datos!K12-Datos!U12)/Datos!U12,(Datos!K12+Datos!AA12-(Datos!U12+Datos!AI12))/(Datos!U12+Datos!AI12))," - ")</f>
        <v>9.5435684647302899E-2</v>
      </c>
      <c r="E12" s="515">
        <f>IF(ISNUMBER(
   IF(J_V="SI",(Datos!L12-Datos!V12)/Datos!V12,(Datos!L12+Datos!AB12-(Datos!V12+Datos!AJ12))/(Datos!V12+Datos!AJ12))
     ),IF(J_V="SI",(Datos!L12-Datos!V12)/Datos!V12,(Datos!L12+Datos!AB12-(Datos!V12+Datos!AJ12))/(Datos!V12+Datos!AJ12))," - ")</f>
        <v>0.35195530726256985</v>
      </c>
      <c r="F12" s="515">
        <f>IF(ISNUMBER((Datos!M12-Datos!W12)/Datos!W12),(Datos!M12-Datos!W12)/Datos!W12," - ")</f>
        <v>-0.32926829268292684</v>
      </c>
      <c r="G12" s="516">
        <f>IF(ISNUMBER((Datos!N12-Datos!X12)/Datos!X12),(Datos!N12-Datos!X12)/Datos!X12," - ")</f>
        <v>0.17391304347826086</v>
      </c>
      <c r="H12" s="514">
        <f>IF(ISNUMBER(((NºAsuntos!G12/NºAsuntos!E12)-Datos!BD12)/Datos!BD12),((NºAsuntos!G12/NºAsuntos!E12)-Datos!BD12)/Datos!BD12," - ")</f>
        <v>0.18122281657751341</v>
      </c>
      <c r="I12" s="515">
        <f>IF(ISNUMBER(((NºAsuntos!I12/NºAsuntos!G12)-Datos!BE12)/Datos!BE12),((NºAsuntos!I12/NºAsuntos!G12)-Datos!BE12)/Datos!BE12," - ")</f>
        <v>0.23417132216014894</v>
      </c>
      <c r="J12" s="521">
        <f>IF(ISNUMBER((('Resol  Asuntos'!D12/NºAsuntos!G12)-Datos!BF12)/Datos!BF12),(('Resol  Asuntos'!D12/NºAsuntos!G12)-Datos!BF12)/Datos!BF12," - ")</f>
        <v>-0.56340579710144933</v>
      </c>
      <c r="K12" s="522">
        <f>IF(ISNUMBER((((NºAsuntos!C12+NºAsuntos!E12)/NºAsuntos!G12)-Datos!BG12)/Datos!BG12),(((NºAsuntos!C12+NºAsuntos!E12)/NºAsuntos!G12)-Datos!BG12)/Datos!BG12," - ")</f>
        <v>0.14980916030534353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0.52380952380952384</v>
      </c>
      <c r="C14" s="1152">
        <f>IF(ISNUMBER(
   IF(J_V="SI",(Datos!J14-Datos!T14)/Datos!T14,(Datos!J14+Datos!Z14-(Datos!T14+Datos!AH14))/(Datos!T14+Datos!AH14))
     ),IF(J_V="SI",(Datos!J14-Datos!T14)/Datos!T14,(Datos!J14+Datos!Z14-(Datos!T14+Datos!AH14))/(Datos!T14+Datos!AH14))," - ")</f>
        <v>4.6961325966850827E-2</v>
      </c>
      <c r="D14" s="1152">
        <f>IF(ISNUMBER(
   IF(J_V="SI",(Datos!K14-Datos!U14)/Datos!U14,(Datos!K14+Datos!AA14-(Datos!U14+Datos!AI14))/(Datos!U14+Datos!AI14))
     ),IF(J_V="SI",(Datos!K14-Datos!U14)/Datos!U14,(Datos!K14+Datos!AA14-(Datos!U14+Datos!AI14))/(Datos!U14+Datos!AI14))," - ")</f>
        <v>0.15573770491803279</v>
      </c>
      <c r="E14" s="1152">
        <f>IF(ISNUMBER(
   IF(J_V="SI",(Datos!L14-Datos!V14)/Datos!V14,(Datos!L14+Datos!AB14-(Datos!V14+Datos!AJ14))/(Datos!V14+Datos!AJ14))
     ),IF(J_V="SI",(Datos!L14-Datos!V14)/Datos!V14,(Datos!L14+Datos!AB14-(Datos!V14+Datos!AJ14))/(Datos!V14+Datos!AJ14))," - ")</f>
        <v>0.39564428312159711</v>
      </c>
      <c r="F14" s="1153">
        <f>IF(ISNUMBER((Datos!M14-Datos!W14)/Datos!W14),(Datos!M14-Datos!W14)/Datos!W14," - ")</f>
        <v>-0.27710843373493976</v>
      </c>
      <c r="G14" s="1154">
        <f>IF(ISNUMBER((Datos!N14-Datos!X14)/Datos!X14),(Datos!N14-Datos!X14)/Datos!X14," - ")</f>
        <v>0.24347826086956523</v>
      </c>
      <c r="H14" s="1154">
        <f>IF(ISNUMBER(((NºAsuntos!G14/NºAsuntos!E14)-Datos!BD14)/Datos!BD14),((NºAsuntos!G14/NºAsuntos!E14)-Datos!BD14)/Datos!BD14," - ")</f>
        <v>0.10389722738872788</v>
      </c>
      <c r="I14" s="1154">
        <f>IF(ISNUMBER(((NºAsuntos!I14/NºAsuntos!G14)-Datos!BE14)/Datos!BE14),((NºAsuntos!I14/NºAsuntos!G14)-Datos!BE14)/Datos!BE14," - ")</f>
        <v>0.20757874142436061</v>
      </c>
      <c r="J14" s="1154">
        <f>IF(ISNUMBER((('Resol  Asuntos'!D14/NºAsuntos!G14)-Datos!BF14)/Datos!BF14),(('Resol  Asuntos'!D14/NºAsuntos!G14)-Datos!BF14)/Datos!BF14," - ")</f>
        <v>-0.55245781364636837</v>
      </c>
      <c r="K14" s="1154">
        <f>IF(ISNUMBER((((NºAsuntos!C14+NºAsuntos!E14)/NºAsuntos!G14)-Datos!BG14)/Datos!BG14),(((NºAsuntos!C14+NºAsuntos!E14)/NºAsuntos!G14)-Datos!BG14)/Datos!BG14," - ")</f>
        <v>0.13247308409068828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0.11297071129707113</v>
      </c>
      <c r="C17" s="515">
        <f>IF(ISNUMBER(
   IF(D_I="SI",(Datos!J17-Datos!T17)/Datos!T17,(Datos!J17+Datos!AD17-(Datos!T17+Datos!AL17))/(Datos!T17+Datos!AL17))
     ),IF(D_I="SI",(Datos!J17-Datos!T17)/Datos!T17,(Datos!J17+Datos!AD17-(Datos!T17+Datos!AL17))/(Datos!T17+Datos!AL17))," - ")</f>
        <v>0.43010752688172044</v>
      </c>
      <c r="D17" s="515">
        <f>IF(ISNUMBER(
   IF(D_I="SI",(Datos!K17-Datos!U17)/Datos!U17,(Datos!K17+Datos!AE17-(Datos!U17+Datos!AM17))/(Datos!U17+Datos!AM17))
     ),IF(D_I="SI",(Datos!K17-Datos!U17)/Datos!U17,(Datos!K17+Datos!AE17-(Datos!U17+Datos!AM17))/(Datos!U17+Datos!AM17))," - ")</f>
        <v>0.19642857142857142</v>
      </c>
      <c r="E17" s="515">
        <f>IF(ISNUMBER(
   IF(D_I="SI",(Datos!L17-Datos!V17)/Datos!V17,(Datos!L17+Datos!AF17-(Datos!V17+Datos!AN17))/(Datos!V17+Datos!AN17))
     ),IF(D_I="SI",(Datos!L17-Datos!V17)/Datos!V17,(Datos!L17+Datos!AF17-(Datos!V17+Datos!AN17))/(Datos!V17+Datos!AN17))," - ")</f>
        <v>0.23665893271461716</v>
      </c>
      <c r="F17" s="515">
        <f>IF(ISNUMBER((Datos!M17-Datos!W17)/Datos!W17),(Datos!M17-Datos!W17)/Datos!W17," - ")</f>
        <v>-0.16923076923076924</v>
      </c>
      <c r="G17" s="516">
        <f>IF(ISNUMBER((Datos!N17-Datos!X17)/Datos!X17),(Datos!N17-Datos!X17)/Datos!X17," - ")</f>
        <v>0.43949044585987262</v>
      </c>
      <c r="H17" s="514">
        <f>IF(ISNUMBER(((NºAsuntos!G17/NºAsuntos!E17)-Datos!BD17)/Datos!BD17),((NºAsuntos!G17/NºAsuntos!E17)-Datos!BD17)/Datos!BD17," - ")</f>
        <v>-0.16339957035445757</v>
      </c>
      <c r="I17" s="515">
        <f>IF(ISNUMBER(((NºAsuntos!I17/NºAsuntos!G17)-Datos!BE17)/Datos!BE17),((NºAsuntos!I17/NºAsuntos!G17)-Datos!BE17)/Datos!BE17," - ")</f>
        <v>3.3625376597291888E-2</v>
      </c>
      <c r="J17" s="521">
        <f>IF(ISNUMBER((('Resol  Asuntos'!D17/NºAsuntos!G17)-Datos!BF17)/Datos!BF17),(('Resol  Asuntos'!D17/NºAsuntos!G17)-Datos!BF17)/Datos!BF17," - ")</f>
        <v>-0.30562571756601609</v>
      </c>
      <c r="K17" s="522">
        <f>IF(ISNUMBER((((NºAsuntos!C17+NºAsuntos!E17)/NºAsuntos!G17)-Datos!BG17)/Datos!BG17),(((NºAsuntos!C17+NºAsuntos!E17)/NºAsuntos!G17)-Datos!BG17)/Datos!BG17," - ")</f>
        <v>2.7938247993848291E-2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0.85507246376811596</v>
      </c>
      <c r="C18" s="515">
        <f>IF(ISNUMBER(
   IF(D_I="SI",(Datos!J18-Datos!T18)/Datos!T18,(Datos!J18+Datos!AD18-(Datos!T18+Datos!AL18))/(Datos!T18+Datos!AL18))
     ),IF(D_I="SI",(Datos!J18-Datos!T18)/Datos!T18,(Datos!J18+Datos!AD18-(Datos!T18+Datos!AL18))/(Datos!T18+Datos!AL18))," - ")</f>
        <v>0.67567567567567566</v>
      </c>
      <c r="D18" s="515">
        <f>IF(ISNUMBER(
   IF(D_I="SI",(Datos!K18-Datos!U18)/Datos!U18,(Datos!K18+Datos!AE18-(Datos!U18+Datos!AM18))/(Datos!U18+Datos!AM18))
     ),IF(D_I="SI",(Datos!K18-Datos!U18)/Datos!U18,(Datos!K18+Datos!AE18-(Datos!U18+Datos!AM18))/(Datos!U18+Datos!AM18))," - ")</f>
        <v>0.87878787878787878</v>
      </c>
      <c r="E18" s="515">
        <f>IF(ISNUMBER(
   IF(D_I="SI",(Datos!L18-Datos!V18)/Datos!V18,(Datos!L18+Datos!AF18-(Datos!V18+Datos!AN18))/(Datos!V18+Datos!AN18))
     ),IF(D_I="SI",(Datos!L18-Datos!V18)/Datos!V18,(Datos!L18+Datos!AF18-(Datos!V18+Datos!AN18))/(Datos!V18+Datos!AN18))," - ")</f>
        <v>0.68421052631578949</v>
      </c>
      <c r="F18" s="515">
        <f>IF(ISNUMBER((Datos!M18-Datos!W18)/Datos!W18),(Datos!M18-Datos!W18)/Datos!W18," - ")</f>
        <v>17</v>
      </c>
      <c r="G18" s="516">
        <f>IF(ISNUMBER((Datos!N18-Datos!X18)/Datos!X18),(Datos!N18-Datos!X18)/Datos!X18," - ")</f>
        <v>0.42857142857142855</v>
      </c>
      <c r="H18" s="514">
        <f>IF(ISNUMBER(((NºAsuntos!G18/NºAsuntos!E18)-Datos!BD18)/Datos!BD18),((NºAsuntos!G18/NºAsuntos!E18)-Datos!BD18)/Datos!BD18," - ")</f>
        <v>0.12121212121212122</v>
      </c>
      <c r="I18" s="515">
        <f>IF(ISNUMBER(((NºAsuntos!I18/NºAsuntos!G18)-Datos!BE18)/Datos!BE18),((NºAsuntos!I18/NºAsuntos!G18)-Datos!BE18)/Datos!BE18," - ")</f>
        <v>-0.10356536502546698</v>
      </c>
      <c r="J18" s="521">
        <f>IF(ISNUMBER((('Resol  Asuntos'!D18/NºAsuntos!G18)-Datos!BF18)/Datos!BF18),(('Resol  Asuntos'!D18/NºAsuntos!G18)-Datos!BF18)/Datos!BF18," - ")</f>
        <v>8.5806451612903221</v>
      </c>
      <c r="K18" s="522">
        <f>IF(ISNUMBER((((NºAsuntos!C18+NºAsuntos!E18)/NºAsuntos!G18)-Datos!BG18)/Datos!BG18),(((NºAsuntos!C18+NºAsuntos!E18)/NºAsuntos!G18)-Datos!BG18)/Datos!BG18," - ")</f>
        <v>-4.5952525867315845E-2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0.20658135283363802</v>
      </c>
      <c r="C23" s="1152">
        <f>IF(ISNUMBER(
   IF(Criterios!B14="SI",(Datos!J23-Datos!T23)/Datos!T23,(Datos!J23+Datos!AD23-(Datos!T23+Datos!AL23))/(Datos!T23+Datos!AL23))
     ),IF(Criterios!B14="SI",(Datos!J23-Datos!T23)/Datos!T23,(Datos!J23+Datos!AD23-(Datos!T23+Datos!AL23))/(Datos!T23+Datos!AL23))," - ")</f>
        <v>0.45886075949367089</v>
      </c>
      <c r="D23" s="1152">
        <f>IF(ISNUMBER(
   IF(Criterios!B14="SI",(Datos!K23-Datos!U23)/Datos!U23,(Datos!K23+Datos!AE23-(Datos!U23+Datos!AM23))/(Datos!U23+Datos!AM23))
     ),IF(Criterios!B14="SI",(Datos!K23-Datos!U23)/Datos!U23,(Datos!K23+Datos!AE23-(Datos!U23+Datos!AM23))/(Datos!U23+Datos!AM23))," - ")</f>
        <v>0.25745257452574527</v>
      </c>
      <c r="E23" s="1152">
        <f>IF(ISNUMBER(
   IF(Criterios!B14="SI",(Datos!L23-Datos!V23)/Datos!V23,(Datos!L23+Datos!AF23-(Datos!V23+Datos!AN23))/(Datos!V23+Datos!AN23))
     ),IF(Criterios!B14="SI",(Datos!L23-Datos!V23)/Datos!V23,(Datos!L23+Datos!AF23-(Datos!V23+Datos!AN23))/(Datos!V23+Datos!AN23))," - ")</f>
        <v>0.30374753451676528</v>
      </c>
      <c r="F23" s="1153">
        <f>IF(ISNUMBER((Datos!M23-Datos!W23)/Datos!W23),(Datos!M23-Datos!W23)/Datos!W23," - ")</f>
        <v>9.0909090909090912E-2</v>
      </c>
      <c r="G23" s="1154">
        <f>IF(ISNUMBER((Datos!N23-Datos!X23)/Datos!X23),(Datos!N23-Datos!X23)/Datos!X23," - ")</f>
        <v>0.43859649122807015</v>
      </c>
      <c r="H23" s="1154">
        <f>IF(ISNUMBER(((NºAsuntos!G23/NºAsuntos!E23)-Datos!BD23)/Datos!BD23),((NºAsuntos!G23/NºAsuntos!E23)-Datos!BD23)/Datos!BD23," - ")</f>
        <v>-0.13805853893679926</v>
      </c>
      <c r="I23" s="1154">
        <f>IF(ISNUMBER(((NºAsuntos!I23/NºAsuntos!G23)-Datos!BE23)/Datos!BE23),((NºAsuntos!I23/NºAsuntos!G23)-Datos!BE23)/Datos!BE23," - ")</f>
        <v>3.6816466027341295E-2</v>
      </c>
      <c r="J23" s="1154">
        <f>IF(ISNUMBER((('Resol  Asuntos'!D23/NºAsuntos!G23)-Datos!BF23)/Datos!BF23),(('Resol  Asuntos'!D23/NºAsuntos!G23)-Datos!BF23)/Datos!BF23," - ")</f>
        <v>-0.13244514106583069</v>
      </c>
      <c r="K23" s="1154">
        <f>IF(ISNUMBER((((NºAsuntos!C23+NºAsuntos!E23)/NºAsuntos!G23)-Datos!BG23)/Datos!BG23),(((NºAsuntos!C23+NºAsuntos!E23)/NºAsuntos!G23)-Datos!BG23)/Datos!BG23," - ")</f>
        <v>3.3006852599192886E-2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0.34817813765182187</v>
      </c>
      <c r="C31" s="1092">
        <f>IF(ISNUMBER(
   IF(J_V="SI",(Datos!J31-Datos!T31)/Datos!T31,(Datos!J31+Datos!Z31-(Datos!T31+Datos!AH31))/(Datos!T31+Datos!AH31))
     ),IF(J_V="SI",(Datos!J31-Datos!T31)/Datos!T31,(Datos!J31+Datos!Z31-(Datos!T31+Datos!AH31))/(Datos!T31+Datos!AH31))," - ")</f>
        <v>0.23893805309734514</v>
      </c>
      <c r="D31" s="1092">
        <f>IF(ISNUMBER(
   IF(J_V="SI",(Datos!K31-Datos!U31)/Datos!U31,(Datos!K31+Datos!AA31-(Datos!U31+Datos!AI31))/(Datos!U31+Datos!AI31))
     ),IF(J_V="SI",(Datos!K31-Datos!U31)/Datos!U31,(Datos!K31+Datos!AA31-(Datos!U31+Datos!AI31))/(Datos!U31+Datos!AI31))," - ")</f>
        <v>0.2169657422512235</v>
      </c>
      <c r="E31" s="1092">
        <f>IF(ISNUMBER(
   IF(J_V="SI",(Datos!L31-Datos!V31)/Datos!V31,(Datos!L31+Datos!AB31-(Datos!V31+Datos!AJ31))/(Datos!V31+Datos!AJ31))
     ),IF(J_V="SI",(Datos!L31-Datos!V31)/Datos!V31,(Datos!L31+Datos!AB31-(Datos!V31+Datos!AJ31))/(Datos!V31+Datos!AJ31))," - ")</f>
        <v>0.3516068052930057</v>
      </c>
      <c r="F31" s="1093">
        <f>IF(ISNUMBER((Datos!M31-Datos!W31)/Datos!W31),(Datos!M31-Datos!W31)/Datos!W31," - ")</f>
        <v>-0.11409395973154363</v>
      </c>
      <c r="G31" s="1094">
        <f>IF(ISNUMBER((Datos!N31-Datos!X31)/Datos!X31),(Datos!N31-Datos!X31)/Datos!X31," - ")</f>
        <v>0.36013986013986016</v>
      </c>
      <c r="H31" s="1095">
        <f>IF(ISNUMBER((Tasas!B31-Datos!BD31)/Datos!BD31),(Tasas!B31-Datos!BD31)/Datos!BD31," - ")</f>
        <v>-1.7734793754369701E-2</v>
      </c>
      <c r="I31" s="1096">
        <f>IF(ISNUMBER((Tasas!C31-Datos!BE31)/Datos!BE31),(Tasas!C31-Datos!BE31)/Datos!BE31," - ")</f>
        <v>0.11063669121261722</v>
      </c>
      <c r="J31" s="1097">
        <f>IF(ISNUMBER((Tasas!D31-Datos!BF31)/Datos!BF31),(Tasas!D31-Datos!BF31)/Datos!BF31," - ")</f>
        <v>-0.4040302860678196</v>
      </c>
      <c r="K31" s="1097">
        <f>IF(ISNUMBER((Tasas!E31-Datos!BG31)/Datos!BG31),(Tasas!E31-Datos!BG31)/Datos!BG31," - ")</f>
        <v>7.1288569046921768E-2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L+AXpV7YK5u8POZcA+4AO3vZvexivHVq/QxnXWwMIsCBtMkptX/lCVryoam5VUBoI0Nh5D7ZhuII1lQNrJVzw==" saltValue="jMhqkVqNOONPU5jwAa8n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EIBAR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0.38297872340425532</v>
      </c>
      <c r="C10" s="498">
        <f>IF(ISNUMBER(NºAsuntos!I10/NºAsuntos!G10),NºAsuntos!I10/NºAsuntos!G10," - ")</f>
        <v>2.3888888888888888</v>
      </c>
      <c r="D10" s="499">
        <f>IF(ISNUMBER('Resol  Asuntos'!D10/NºAsuntos!G10),'Resol  Asuntos'!D10/NºAsuntos!G10," - ")</f>
        <v>0.27777777777777779</v>
      </c>
      <c r="E10" s="500">
        <f>IF(ISNUMBER((NºAsuntos!C10+NºAsuntos!E10)/NºAsuntos!G10),(NºAsuntos!C10+NºAsuntos!E10)/NºAsuntos!G10," - ")</f>
        <v>3.3888888888888888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0.79518072289156627</v>
      </c>
      <c r="C12" s="498">
        <f>IF(ISNUMBER(NºAsuntos!I12/NºAsuntos!G12),NºAsuntos!I12/NºAsuntos!G12," - ")</f>
        <v>2.75</v>
      </c>
      <c r="D12" s="499">
        <f>IF(ISNUMBER('Resol  Asuntos'!D12/NºAsuntos!G12),'Resol  Asuntos'!D12/NºAsuntos!G12," - ")</f>
        <v>0.20833333333333334</v>
      </c>
      <c r="E12" s="500">
        <f>IF(ISNUMBER((NºAsuntos!C12+NºAsuntos!E12)/NºAsuntos!G12),(NºAsuntos!C12+NºAsuntos!E12)/NºAsuntos!G12," - ")</f>
        <v>3.75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0.74406332453825863</v>
      </c>
      <c r="C14" s="1156">
        <f>IF(ISNUMBER(NºAsuntos!I14/NºAsuntos!G14),NºAsuntos!I14/NºAsuntos!G14," - ")</f>
        <v>2.726950354609929</v>
      </c>
      <c r="D14" s="1157">
        <f>IF(ISNUMBER('Resol  Asuntos'!D14/NºAsuntos!G14),'Resol  Asuntos'!D14/NºAsuntos!G14," - ")</f>
        <v>0.21276595744680851</v>
      </c>
      <c r="E14" s="1158">
        <f>IF(ISNUMBER((NºAsuntos!C14+NºAsuntos!E14)/NºAsuntos!G14),(NºAsuntos!C14+NºAsuntos!E14)/NºAsuntos!G14," - ")</f>
        <v>3.726950354609929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1.0075187969924813</v>
      </c>
      <c r="C17" s="498">
        <f>IF(ISNUMBER(NºAsuntos!I17/NºAsuntos!G17),NºAsuntos!I17/NºAsuntos!G17," - ")</f>
        <v>1.3258706467661692</v>
      </c>
      <c r="D17" s="499">
        <f>IF(ISNUMBER('Resol  Asuntos'!D17/NºAsuntos!G17),'Resol  Asuntos'!D17/NºAsuntos!G17," - ")</f>
        <v>0.13432835820895522</v>
      </c>
      <c r="E17" s="500">
        <f>IF(ISNUMBER((NºAsuntos!C17+NºAsuntos!E17)/NºAsuntos!G17),(NºAsuntos!C17+NºAsuntos!E17)/NºAsuntos!G17," - ")</f>
        <v>2.3159203980099501</v>
      </c>
      <c r="G17" s="523"/>
    </row>
    <row r="18" spans="1:7">
      <c r="A18" s="450" t="str">
        <f>Datos!A18</f>
        <v>Jdos. Violencia contra la mujer</v>
      </c>
      <c r="B18" s="497">
        <f>IF(ISNUMBER(NºAsuntos!G18/NºAsuntos!E18),NºAsuntos!G18/NºAsuntos!E18," - ")</f>
        <v>1</v>
      </c>
      <c r="C18" s="498">
        <f>IF(ISNUMBER(NºAsuntos!I18/NºAsuntos!G18),NºAsuntos!I18/NºAsuntos!G18," - ")</f>
        <v>2.064516129032258</v>
      </c>
      <c r="D18" s="499">
        <f>IF(ISNUMBER('Resol  Asuntos'!D18/NºAsuntos!G18),'Resol  Asuntos'!D18/NºAsuntos!G18," - ")</f>
        <v>0.29032258064516131</v>
      </c>
      <c r="E18" s="500">
        <f>IF(ISNUMBER((NºAsuntos!C18+NºAsuntos!E18)/NºAsuntos!G18),(NºAsuntos!C18+NºAsuntos!E18)/NºAsuntos!G18," - ")</f>
        <v>3.064516129032258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1.0065075921908895</v>
      </c>
      <c r="C23" s="1156">
        <f>IF(ISNUMBER(NºAsuntos!I23/NºAsuntos!G23),NºAsuntos!I23/NºAsuntos!G23," - ")</f>
        <v>1.4245689655172413</v>
      </c>
      <c r="D23" s="1159">
        <f>IF(ISNUMBER('Resol  Asuntos'!D23/NºAsuntos!G23),'Resol  Asuntos'!D23/NºAsuntos!G23," - ")</f>
        <v>0.15517241379310345</v>
      </c>
      <c r="E23" s="1158">
        <f>IF(ISNUMBER((NºAsuntos!C23+NºAsuntos!E23)/NºAsuntos!G23),(NºAsuntos!C23+NºAsuntos!E23)/NºAsuntos!G23," - ")</f>
        <v>2.415948275862069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0.88809523809523805</v>
      </c>
      <c r="C31" s="1099">
        <f>IF(ISNUMBER(NºAsuntos!I31/NºAsuntos!G31),NºAsuntos!I31/NºAsuntos!G31," - ")</f>
        <v>1.9168900804289544</v>
      </c>
      <c r="D31" s="1100">
        <f>IF(ISNUMBER('Resol  Asuntos'!D31/NºAsuntos!G31),'Resol  Asuntos'!D31/NºAsuntos!G31," - ")</f>
        <v>0.17694369973190349</v>
      </c>
      <c r="E31" s="1101">
        <f>IF(ISNUMBER((NºAsuntos!C31+NºAsuntos!E31)/NºAsuntos!G31),(NºAsuntos!C31+NºAsuntos!E31)/NºAsuntos!G31," - ")</f>
        <v>2.9115281501340484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Gh5ptOAmVUixspITrbUzyv2l4zjfmq29BK28esTGFNFLQRfXoKKry/8UGQtsk0HTv6B7+RtgF3euogC8i6fHg==" saltValue="s6G85ILSVYoGU5DvxU9b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EIBAR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43</v>
      </c>
      <c r="AB10" s="374">
        <f>IF(ISNUMBER(Datos!R10),Datos!R10," - ")</f>
        <v>0</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0.38297872340425532</v>
      </c>
      <c r="AM10" s="284">
        <f>IF(ISNUMBER(((NºAsuntos!I10/NºAsuntos!G10)*11)/factor_trimestre),((NºAsuntos!I10/NºAsuntos!G10)*11)/factor_trimestre," - ")</f>
        <v>7.166666666666667</v>
      </c>
      <c r="AN10" s="267">
        <f>IF(ISNUMBER('Resol  Asuntos'!D10/NºAsuntos!G10),'Resol  Asuntos'!D10/NºAsuntos!G10," - ")</f>
        <v>0.27777777777777779</v>
      </c>
      <c r="AO10" s="268">
        <f>IF(ISNUMBER((NºAsuntos!C10+NºAsuntos!E10)/NºAsuntos!G10),(NºAsuntos!C10+NºAsuntos!E10)/NºAsuntos!G10," - ")</f>
        <v>3.3888888888888888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134</v>
      </c>
      <c r="Y12" s="374">
        <f t="shared" si="0"/>
        <v>134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0.79518072289156627</v>
      </c>
      <c r="AM12" s="284">
        <f>IF(ISNUMBER(((NºAsuntos!I12/NºAsuntos!G12)*11)/factor_trimestre),((NºAsuntos!I12/NºAsuntos!G12)*11)/factor_trimestre," - ")</f>
        <v>8.25</v>
      </c>
      <c r="AN12" s="267">
        <f>IF(ISNUMBER('Resol  Asuntos'!D12/NºAsuntos!G12),'Resol  Asuntos'!D12/NºAsuntos!G12," - ")</f>
        <v>0.20833333333333334</v>
      </c>
      <c r="AO12" s="268">
        <f>IF(ISNUMBER((NºAsuntos!C12+NºAsuntos!E12)/NºAsuntos!G12),(NºAsuntos!C12+NºAsuntos!E12)/NºAsuntos!G12," - ")</f>
        <v>3.75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105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134</v>
      </c>
      <c r="Y14" s="1165">
        <f t="shared" si="6"/>
        <v>152</v>
      </c>
      <c r="Z14" s="1165">
        <f t="shared" si="6"/>
        <v>0</v>
      </c>
      <c r="AA14" s="1165">
        <f t="shared" si="6"/>
        <v>43</v>
      </c>
      <c r="AB14" s="1165">
        <f t="shared" si="6"/>
        <v>725</v>
      </c>
      <c r="AC14" s="1165">
        <f t="shared" si="6"/>
        <v>43</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0.74406332453825863</v>
      </c>
      <c r="AM14" s="1171">
        <f>IF(ISNUMBER(((NºAsuntos!I14/NºAsuntos!G14)*11)/factor_trimestre),((NºAsuntos!I14/NºAsuntos!G14)*11)/factor_trimestre," - ")</f>
        <v>8.1808510638297882</v>
      </c>
      <c r="AN14" s="1172">
        <f>IF(ISNUMBER('Resol  Asuntos'!D14/NºAsuntos!G14),'Resol  Asuntos'!D14/NºAsuntos!G14," - ")</f>
        <v>0.21276595744680851</v>
      </c>
      <c r="AO14" s="1173">
        <f>IF(ISNUMBER((NºAsuntos!C14+NºAsuntos!E14)/NºAsuntos!G14),(NºAsuntos!C14+NºAsuntos!E14)/NºAsuntos!G14," - ")</f>
        <v>3.726950354609929</v>
      </c>
      <c r="AP14" s="1174" t="str">
        <f t="shared" si="2"/>
        <v xml:space="preserve"> - </v>
      </c>
      <c r="AQ14" s="1174">
        <f>IF(ISNUMBER((H14-W14+K14)/(F14)),(H14-W14+K14)/(F14)," - ")</f>
        <v>-1.2857142857142858</v>
      </c>
      <c r="AR14" s="1175">
        <f>IF(ISNUMBER((Datos!P14-Datos!Q14)/(Datos!R14-Datos!P14+Datos!Q14)),(Datos!P14-Datos!Q14)/(Datos!R14-Datos!P14+Datos!Q14)," - ")</f>
        <v>-3.8461538461538464E-2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536</v>
      </c>
      <c r="G17" s="373">
        <f>IF(ISNUMBER(IF(D_I="SI",Datos!I17,Datos!I17+Datos!AC17)),IF(D_I="SI",Datos!I17,Datos!I17+Datos!AC17)," - ")</f>
        <v>532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402</v>
      </c>
      <c r="X17" s="240">
        <f>IF(ISNUMBER(Datos!Q17),Datos!Q17," - ")</f>
        <v>32</v>
      </c>
      <c r="Y17" s="374">
        <f t="shared" ref="Y17:Y22" si="9">SUM(W17:X17)</f>
        <v>434</v>
      </c>
      <c r="Z17" s="375" t="str">
        <f>IF(ISNUMBER(Datos!CC17),Datos!CC17," - ")</f>
        <v xml:space="preserve"> - </v>
      </c>
      <c r="AA17" s="372">
        <f>IF(ISNUMBER(IF(D_I="SI",Datos!L17,Datos!L17+Datos!AF17)),IF(D_I="SI",Datos!L17,Datos!L17+Datos!AF17)," - ")</f>
        <v>533</v>
      </c>
      <c r="AB17" s="374">
        <f>IF(ISNUMBER(Datos!R17),Datos!R17," - ")</f>
        <v>50</v>
      </c>
      <c r="AC17" s="374">
        <f t="shared" si="8"/>
        <v>583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1.0075187969924813</v>
      </c>
      <c r="AM17" s="284">
        <f>IF(ISNUMBER(((NºAsuntos!I17/NºAsuntos!G17)*11)/factor_trimestre),((NºAsuntos!I17/NºAsuntos!G17)*11)/factor_trimestre," - ")</f>
        <v>3.9776119402985075</v>
      </c>
      <c r="AN17" s="267">
        <f>IF(ISNUMBER('Resol  Asuntos'!D17/NºAsuntos!G17),'Resol  Asuntos'!D17/NºAsuntos!G17," - ")</f>
        <v>0.13432835820895522</v>
      </c>
      <c r="AO17" s="268">
        <f>IF(ISNUMBER((NºAsuntos!C17+NºAsuntos!E17)/NºAsuntos!G17),(NºAsuntos!C17+NºAsuntos!E17)/NºAsuntos!G17," - ")</f>
        <v>2.3159203980099501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14</v>
      </c>
      <c r="Y18" s="374">
        <f t="shared" si="9"/>
        <v>76</v>
      </c>
      <c r="Z18" s="375" t="str">
        <f>IF(ISNUMBER(Datos!CC18),Datos!CC18," - ")</f>
        <v xml:space="preserve"> - </v>
      </c>
      <c r="AA18" s="372">
        <f>IF(ISNUMBER(Datos!L18),Datos!L18,"-")</f>
        <v>128</v>
      </c>
      <c r="AB18" s="374">
        <f>IF(ISNUMBER(Datos!R18),Datos!R18," - ")</f>
        <v>11</v>
      </c>
      <c r="AC18" s="374">
        <f t="shared" si="8"/>
        <v>139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6.1935483870967749</v>
      </c>
      <c r="AN18" s="267">
        <f>IF(ISNUMBER('Resol  Asuntos'!D18/NºAsuntos!G18),'Resol  Asuntos'!D18/NºAsuntos!G18," - ")</f>
        <v>0.29032258064516131</v>
      </c>
      <c r="AO18" s="268">
        <f>IF(ISNUMBER((NºAsuntos!C18+NºAsuntos!E18)/NºAsuntos!G18),(NºAsuntos!C18+NºAsuntos!E18)/NºAsuntos!G18," - ")</f>
        <v>3.064516129032258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536</v>
      </c>
      <c r="G23" s="1163">
        <f>SUBTOTAL(9,G16:G22)</f>
        <v>660</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464</v>
      </c>
      <c r="X23" s="1164">
        <f t="shared" si="14"/>
        <v>46</v>
      </c>
      <c r="Y23" s="1165">
        <f t="shared" si="14"/>
        <v>510</v>
      </c>
      <c r="Z23" s="1165">
        <f t="shared" si="14"/>
        <v>0</v>
      </c>
      <c r="AA23" s="1165">
        <f t="shared" si="14"/>
        <v>661</v>
      </c>
      <c r="AB23" s="1165">
        <f t="shared" si="14"/>
        <v>61</v>
      </c>
      <c r="AC23" s="1165">
        <f t="shared" si="14"/>
        <v>722</v>
      </c>
      <c r="AD23" s="1165">
        <f t="shared" si="14"/>
        <v>0</v>
      </c>
      <c r="AE23" s="1169">
        <f t="shared" si="14"/>
        <v>0</v>
      </c>
      <c r="AF23" s="1162">
        <f t="shared" si="14"/>
        <v>0</v>
      </c>
      <c r="AG23" s="1170">
        <f t="shared" si="14"/>
        <v>0</v>
      </c>
      <c r="AH23" s="1167">
        <f t="shared" si="14"/>
        <v>0</v>
      </c>
      <c r="AI23" s="1162">
        <f t="shared" si="14"/>
        <v>72</v>
      </c>
      <c r="AJ23" s="1164">
        <f t="shared" si="14"/>
        <v>0</v>
      </c>
      <c r="AK23" s="1167">
        <f t="shared" si="14"/>
        <v>0</v>
      </c>
      <c r="AL23" s="1171">
        <f>IF(ISNUMBER(NºAsuntos!G23/NºAsuntos!E23),NºAsuntos!G23/NºAsuntos!E23," - ")</f>
        <v>1.0065075921908895</v>
      </c>
      <c r="AM23" s="1171">
        <f>IF(ISNUMBER(((NºAsuntos!I23/NºAsuntos!G23)*11)/factor_trimestre),((NºAsuntos!I23/NºAsuntos!G23)*11)/factor_trimestre," - ")</f>
        <v>4.2737068965517242</v>
      </c>
      <c r="AN23" s="1172">
        <f>IF(ISNUMBER('Resol  Asuntos'!D23/NºAsuntos!G23),'Resol  Asuntos'!D23/NºAsuntos!G23," - ")</f>
        <v>0.15517241379310345</v>
      </c>
      <c r="AO23" s="1173">
        <f>IF(ISNUMBER((NºAsuntos!C23+NºAsuntos!E23)/NºAsuntos!G23),(NºAsuntos!C23+NºAsuntos!E23)/NºAsuntos!G23," - ")</f>
        <v>2.415948275862069</v>
      </c>
      <c r="AP23" s="1174" t="str">
        <f t="shared" si="2"/>
        <v xml:space="preserve"> - </v>
      </c>
      <c r="AQ23" s="1174">
        <f>IF(ISNUMBER((H23-W23+K23)/(F23)),(H23-W23+K23)/(F23)," - ")</f>
        <v>-0.86567164179104472</v>
      </c>
      <c r="AR23" s="1175">
        <f>IF(ISNUMBER((Datos!P23-Datos!Q23)/(Datos!R23-Datos!P23+Datos!Q23)),(Datos!P23-Datos!Q23)/(Datos!R23-Datos!P23+Datos!Q23)," - ")</f>
        <v>-0.28235294117647058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550</v>
      </c>
      <c r="G31" s="1118">
        <f t="shared" si="20"/>
        <v>674</v>
      </c>
      <c r="H31" s="1117">
        <f t="shared" si="20"/>
        <v>0</v>
      </c>
      <c r="I31" s="1119">
        <f t="shared" si="20"/>
        <v>0</v>
      </c>
      <c r="J31" s="1119">
        <f t="shared" si="20"/>
        <v>0</v>
      </c>
      <c r="K31" s="1180">
        <f t="shared" si="20"/>
        <v>0</v>
      </c>
      <c r="L31" s="1119">
        <f t="shared" si="20"/>
        <v>127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482</v>
      </c>
      <c r="X31" s="1118">
        <f t="shared" si="21"/>
        <v>180</v>
      </c>
      <c r="Y31" s="1125">
        <f t="shared" si="21"/>
        <v>662</v>
      </c>
      <c r="Z31" s="1125">
        <f t="shared" si="21"/>
        <v>0</v>
      </c>
      <c r="AA31" s="1125">
        <f t="shared" si="21"/>
        <v>704</v>
      </c>
      <c r="AB31" s="1125">
        <f t="shared" si="21"/>
        <v>786</v>
      </c>
      <c r="AC31" s="1125">
        <f t="shared" si="21"/>
        <v>765</v>
      </c>
      <c r="AD31" s="1125">
        <f t="shared" si="21"/>
        <v>0</v>
      </c>
      <c r="AE31" s="1127">
        <f t="shared" si="21"/>
        <v>0</v>
      </c>
      <c r="AF31" s="1128">
        <f t="shared" si="21"/>
        <v>0</v>
      </c>
      <c r="AG31" s="1129">
        <f t="shared" si="21"/>
        <v>0</v>
      </c>
      <c r="AH31" s="1127">
        <f t="shared" si="21"/>
        <v>0</v>
      </c>
      <c r="AI31" s="1117">
        <f t="shared" si="21"/>
        <v>132</v>
      </c>
      <c r="AJ31" s="1117">
        <f t="shared" si="21"/>
        <v>0</v>
      </c>
      <c r="AK31" s="1127">
        <f t="shared" si="21"/>
        <v>0</v>
      </c>
      <c r="AL31" s="1183">
        <f>IF(ISNUMBER(NºAsuntos!G31/NºAsuntos!E31),NºAsuntos!G31/NºAsuntos!E31," - ")</f>
        <v>0.88809523809523805</v>
      </c>
      <c r="AM31" s="1184">
        <f>IF(ISNUMBER(((NºAsuntos!I31/NºAsuntos!G31)*11)/factor_trimestre),((NºAsuntos!I31/NºAsuntos!G31)*11)/factor_trimestre," - ")</f>
        <v>5.7506702412868638</v>
      </c>
      <c r="AN31" s="1184">
        <f>IF(ISNUMBER('Resol  Asuntos'!D31/NºAsuntos!G31),'Resol  Asuntos'!D31/NºAsuntos!G31," - ")</f>
        <v>0.17694369973190349</v>
      </c>
      <c r="AO31" s="1185">
        <f>IF(ISNUMBER((NºAsuntos!C31+NºAsuntos!E31)/NºAsuntos!G31),(NºAsuntos!C31+NºAsuntos!E31)/NºAsuntos!G31," - ")</f>
        <v>2.9115281501340484</v>
      </c>
      <c r="AP31" s="1186" t="str">
        <f t="shared" si="2"/>
        <v xml:space="preserve"> - </v>
      </c>
      <c r="AQ31" s="1187">
        <f>IF(OR(ISNUMBER(FIND("01",Criterios!A8,1)),ISNUMBER(FIND("02",Criterios!A8,1)),ISNUMBER(FIND("03",Criterios!A8,1)),ISNUMBER(FIND("04",Criterios!A8,1))),(I31-W31+K31)/(F31-K31),(H31-W31+K31)/(F31-K31))</f>
        <v>-0.87636363636363634</v>
      </c>
      <c r="AR31" s="1188">
        <f>IF(ISNUMBER((Datos!P31-Datos!Q31)/(Datos!R31-Datos!P31+Datos!Q31)),(Datos!P31-Datos!Q31)/(Datos!R31-Datos!P31+Datos!Q31)," - ")</f>
        <v>-6.3170441001191902E-2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273.24616496241384</v>
      </c>
      <c r="G33" s="277">
        <f>IF(ISNUMBER(STDEV(G8:G30)),STDEV(G8:G30),"-")</f>
        <v>281.60661518204029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203.56629901640915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30.147257634105674</v>
      </c>
      <c r="AJ33" s="276">
        <f t="shared" si="25"/>
        <v>0</v>
      </c>
      <c r="AK33" s="278">
        <f t="shared" si="25"/>
        <v>0</v>
      </c>
      <c r="AL33" s="273">
        <f t="shared" si="25"/>
        <v>0.24481599077560792</v>
      </c>
      <c r="AM33" s="274">
        <f t="shared" si="25"/>
        <v>1.8757452960292778</v>
      </c>
      <c r="AN33" s="274">
        <f t="shared" si="25"/>
        <v>6.2817115038476923E-2</v>
      </c>
      <c r="AO33" s="275">
        <f t="shared" si="25"/>
        <v>0.62965783098372685</v>
      </c>
      <c r="AP33" s="317" t="str">
        <f t="shared" si="25"/>
        <v>-</v>
      </c>
      <c r="AQ33" s="318">
        <f t="shared" si="25"/>
        <v>0.29701500190564983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eeU03IKhDo+VtCmEHfutLEOpXKoTHAz5uh1TMfvBD98kb2IYpjYcRlSPxzbuwhHsEgaPWx36v3X3cCe32xQiA==" saltValue="2vlb8t5aijPUvq59q9L3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EIBAR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10.75</v>
      </c>
      <c r="F10" s="393">
        <f>IF(ISNUMBER((Datos!K10-Datos!U10)/Datos!U10),(Datos!K10-Datos!U10)/Datos!U10," - ")</f>
        <v>5</v>
      </c>
      <c r="G10" s="394">
        <f>IF(ISNUMBER((Datos!L10-Datos!V10)/Datos!V10),(Datos!L10-Datos!V10)/Datos!V10," - ")</f>
        <v>2.0714285714285716</v>
      </c>
      <c r="H10" s="244">
        <f>IF(ISNUMBER((Datos!M10-Datos!W10)/Datos!W10),(Datos!M10-Datos!W10)/Datos!W10," - ")</f>
        <v>4</v>
      </c>
      <c r="I10" s="395">
        <f>IF(ISNUMBER((Tasas!C10-Datos!BE10)/Datos!BE10),(Tasas!C10-Datos!BE10)/Datos!BE10," - ")</f>
        <v>-0.48809523809523814</v>
      </c>
      <c r="J10" s="394">
        <f>IF(ISNUMBER((Tasas!D10-Datos!BF10)/Datos!BF10),(Tasas!D10-Datos!BF10)/Datos!BF10," - ")</f>
        <v>-0.16666666666666657</v>
      </c>
      <c r="K10" s="396">
        <f>IF(ISNUMBER((Tasas!E10-Datos!BG10)/Datos!BG10),(Tasas!E10-Datos!BG10)/Datos!BG10," - ")</f>
        <v>-0.40196078431372551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-0.32926829268292684</v>
      </c>
      <c r="I12" s="395">
        <f>IF(ISNUMBER((Tasas!C12-Datos!BE12)/Datos!BE12),(Tasas!C12-Datos!BE12)/Datos!BE12," - ")</f>
        <v>0.23417132216014894</v>
      </c>
      <c r="J12" s="394">
        <f>IF(ISNUMBER((Tasas!D12-Datos!BF12)/Datos!BF12),(Tasas!D12-Datos!BF12)/Datos!BF12," - ")</f>
        <v>-0.56340579710144933</v>
      </c>
      <c r="K12" s="396">
        <f>IF(ISNUMBER((Tasas!E12-Datos!BG12)/Datos!BG12),(Tasas!E12-Datos!BG12)/Datos!BG12," - ")</f>
        <v>0.14980916030534353</v>
      </c>
      <c r="M12" t="e">
        <f>IF(Monitorios="SI",Datos!CE12,0)</f>
        <v>#REF!</v>
      </c>
      <c r="N12" t="e">
        <f>IF(Monitorios="SI",Datos!CF12,0)</f>
        <v>#REF!</v>
      </c>
      <c r="O12" t="e">
        <f>IF(Monitorios="SI",Datos!CG12,0)</f>
        <v>#REF!</v>
      </c>
      <c r="P12" t="e">
        <f>IF(Monitorios="SI",Datos!CH12,0)</f>
        <v>#REF!</v>
      </c>
      <c r="Q12">
        <f>IF(J_V="SI",0,Datos!AG12)</f>
        <v>25</v>
      </c>
      <c r="R12">
        <f>IF(J_V="SI",0,Datos!AH12)</f>
        <v>42</v>
      </c>
      <c r="S12">
        <f>IF(J_V="SI",0,Datos!AI12)</f>
        <v>31</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-0.27710843373493976</v>
      </c>
      <c r="I14" s="402">
        <f>IF(ISNUMBER((Tasas!C14-Datos!BE14)/Datos!BE14),(Tasas!C14-Datos!BE14)/Datos!BE14," - ")</f>
        <v>0.20757874142436061</v>
      </c>
      <c r="J14" s="400">
        <f>IF(ISNUMBER((Tasas!D14-Datos!BF14)/Datos!BF14),(Tasas!D14-Datos!BF14)/Datos!BF14," - ")</f>
        <v>-0.55245781364636837</v>
      </c>
      <c r="K14" s="403">
        <f>IF(ISNUMBER((Tasas!E14-Datos!BG14)/Datos!BG14),(Tasas!E14-Datos!BG14)/Datos!BG14," - ")</f>
        <v>0.13247308409068828</v>
      </c>
      <c r="M14" t="e">
        <f>IF(Monitorios="SI",Datos!CE14,0)</f>
        <v>#REF!</v>
      </c>
      <c r="N14" t="e">
        <f>IF(Monitorios="SI",Datos!CF14,0)</f>
        <v>#REF!</v>
      </c>
      <c r="O14" t="e">
        <f>IF(Monitorios="SI",Datos!CG14,0)</f>
        <v>#REF!</v>
      </c>
      <c r="P14" t="e">
        <f>IF(Monitorios="SI",Datos!CH14,0)</f>
        <v>#REF!</v>
      </c>
      <c r="Q14">
        <f>IF(J_V="SI",0,Datos!AG14)</f>
        <v>25</v>
      </c>
      <c r="R14">
        <f>IF(J_V="SI",0,Datos!AH14)</f>
        <v>42</v>
      </c>
      <c r="S14">
        <f>IF(J_V="SI",0,Datos!AI14)</f>
        <v>31</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0.11297071129707113</v>
      </c>
      <c r="E17" s="393">
        <f>IF(ISNUMBER(
   IF(D_I="SI",(Datos!J17-Datos!T17)/Datos!T17,(Datos!J17+Datos!AD17-(Datos!T17+Datos!AL17))/(Datos!T17+Datos!AL17))
     ),IF(D_I="SI",(Datos!J17-Datos!T17)/Datos!T17,(Datos!J17+Datos!AD17-(Datos!T17+Datos!AL17))/(Datos!T17+Datos!AL17))," - ")</f>
        <v>0.43010752688172044</v>
      </c>
      <c r="F17" s="393">
        <f>IF(ISNUMBER(
   IF(D_I="SI",(Datos!K17-Datos!U17)/Datos!U17,(Datos!K17+Datos!AE17-(Datos!U17+Datos!AM17))/(Datos!U17+Datos!AM17))
     ),IF(D_I="SI",(Datos!K17-Datos!U17)/Datos!U17,(Datos!K17+Datos!AE17-(Datos!U17+Datos!AM17))/(Datos!U17+Datos!AM17))," - ")</f>
        <v>0.19642857142857142</v>
      </c>
      <c r="G17" s="394">
        <f>IF(ISNUMBER(
   IF(D_I="SI",(Datos!L17-Datos!V17)/Datos!V17,(Datos!L17+Datos!AF17-(Datos!V17+Datos!AN17))/(Datos!V17+Datos!AN17))
     ),IF(D_I="SI",(Datos!L17-Datos!V17)/Datos!V17,(Datos!L17+Datos!AF17-(Datos!V17+Datos!AN17))/(Datos!V17+Datos!AN17))," - ")</f>
        <v>0.23665893271461716</v>
      </c>
      <c r="H17" s="244">
        <f>IF(ISNUMBER((Datos!M17-Datos!W17)/Datos!W17),(Datos!M17-Datos!W17)/Datos!W17," - ")</f>
        <v>-0.16923076923076924</v>
      </c>
      <c r="I17" s="395">
        <f>IF(ISNUMBER((Tasas!C17-Datos!BE17)/Datos!BE17),(Tasas!C17-Datos!BE17)/Datos!BE17," - ")</f>
        <v>3.3625376597291888E-2</v>
      </c>
      <c r="J17" s="394">
        <f>IF(ISNUMBER((Tasas!D17-Datos!BF17)/Datos!BF17),(Tasas!D17-Datos!BF17)/Datos!BF17," - ")</f>
        <v>-0.30562571756601609</v>
      </c>
      <c r="K17" s="396">
        <f>IF(ISNUMBER((Tasas!E17-Datos!BG17)/Datos!BG17),(Tasas!E17-Datos!BG17)/Datos!BG17," - ")</f>
        <v>2.7938247993848291E-2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0.85507246376811596</v>
      </c>
      <c r="E18" s="393">
        <f>IF(ISNUMBER(
   IF(D_I="SI",(Datos!J18-Datos!T18)/Datos!T18,(Datos!J18+Datos!AD18-(Datos!T18+Datos!AL18))/(Datos!T18+Datos!AL18))
     ),IF(D_I="SI",(Datos!J18-Datos!T18)/Datos!T18,(Datos!J18+Datos!AD18-(Datos!T18+Datos!AL18))/(Datos!T18+Datos!AL18))," - ")</f>
        <v>0.67567567567567566</v>
      </c>
      <c r="F18" s="393">
        <f>IF(ISNUMBER(
   IF(D_I="SI",(Datos!K18-Datos!U18)/Datos!U18,(Datos!K18+Datos!AE18-(Datos!U18+Datos!AM18))/(Datos!U18+Datos!AM18))
     ),IF(D_I="SI",(Datos!K18-Datos!U18)/Datos!U18,(Datos!K18+Datos!AE18-(Datos!U18+Datos!AM18))/(Datos!U18+Datos!AM18))," - ")</f>
        <v>0.87878787878787878</v>
      </c>
      <c r="G18" s="394">
        <f>IF(ISNUMBER(
   IF(D_I="SI",(Datos!L18-Datos!V18)/Datos!V18,(Datos!L18+Datos!AF18-(Datos!V18+Datos!AN18))/(Datos!V18+Datos!AN18))
     ),IF(D_I="SI",(Datos!L18-Datos!V18)/Datos!V18,(Datos!L18+Datos!AF18-(Datos!V18+Datos!AN18))/(Datos!V18+Datos!AN18))," - ")</f>
        <v>0.68421052631578949</v>
      </c>
      <c r="H18" s="244">
        <f>IF(ISNUMBER((Datos!M18-Datos!W18)/Datos!W18),(Datos!M18-Datos!W18)/Datos!W18," - ")</f>
        <v>17</v>
      </c>
      <c r="I18" s="395">
        <f>IF(ISNUMBER((Tasas!C18-Datos!BE18)/Datos!BE18),(Tasas!C18-Datos!BE18)/Datos!BE18," - ")</f>
        <v>-0.10356536502546698</v>
      </c>
      <c r="J18" s="394">
        <f>IF(ISNUMBER((Tasas!D18-Datos!BF18)/Datos!BF18),(Tasas!D18-Datos!BF18)/Datos!BF18," - ")</f>
        <v>8.5806451612903221</v>
      </c>
      <c r="K18" s="396">
        <f>IF(ISNUMBER((Tasas!E18-Datos!BG18)/Datos!BG18),(Tasas!E18-Datos!BG18)/Datos!BG18," - ")</f>
        <v>-4.5952525867315845E-2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0.20658135283363802</v>
      </c>
      <c r="E23" s="399">
        <f>IF(ISNUMBER(
   IF(D_I="SI",(Datos!J23-Datos!T23)/Datos!T23,(Datos!J23+Datos!AD23-(Datos!T23+Datos!AL23))/(Datos!T23+Datos!AL23))
     ),IF(D_I="SI",(Datos!J23-Datos!T23)/Datos!T23,(Datos!J23+Datos!AD23-(Datos!T23+Datos!AL23))/(Datos!T23+Datos!AL23))," - ")</f>
        <v>0.45886075949367089</v>
      </c>
      <c r="F23" s="399">
        <f>IF(ISNUMBER(
   IF(D_I="SI",(Datos!K23-Datos!U23)/Datos!U23,(Datos!K23+Datos!AE23-(Datos!U23+Datos!AM23))/(Datos!U23+Datos!AM23))
     ),IF(D_I="SI",(Datos!K23-Datos!U23)/Datos!U23,(Datos!K23+Datos!AE23-(Datos!U23+Datos!AM23))/(Datos!U23+Datos!AM23))," - ")</f>
        <v>0.25745257452574527</v>
      </c>
      <c r="G23" s="400">
        <f>IF(ISNUMBER(
   IF(D_I="SI",(Datos!L23-Datos!V23)/Datos!V23,(Datos!L23+Datos!AF23-(Datos!V23+Datos!AN23))/(Datos!V23+Datos!AN23))
     ),IF(D_I="SI",(Datos!L23-Datos!V23)/Datos!V23,(Datos!L23+Datos!AF23-(Datos!V23+Datos!AN23))/(Datos!V23+Datos!AN23))," - ")</f>
        <v>0.30374753451676528</v>
      </c>
      <c r="H23" s="401">
        <f>IF(ISNUMBER((Datos!M23-Datos!W23)/Datos!W23),(Datos!M23-Datos!W23)/Datos!W23," - ")</f>
        <v>9.0909090909090912E-2</v>
      </c>
      <c r="I23" s="402">
        <f>IF(ISNUMBER((Tasas!C23-Datos!BE23)/Datos!BE23),(Tasas!C23-Datos!BE23)/Datos!BE23," - ")</f>
        <v>3.6816466027341295E-2</v>
      </c>
      <c r="J23" s="400">
        <f>IF(ISNUMBER((Tasas!D23-Datos!BF23)/Datos!BF23),(Tasas!D23-Datos!BF23)/Datos!BF23," - ")</f>
        <v>-0.13244514106583069</v>
      </c>
      <c r="K23" s="403">
        <f>IF(ISNUMBER((Tasas!E23-Datos!BG23)/Datos!BG23),(Tasas!E23-Datos!BG23)/Datos!BG23," - ")</f>
        <v>3.3006852599192886E-2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0.34817813765182187</v>
      </c>
      <c r="E31" s="409">
        <f>IF(ISNUMBER(
   IF(J_V="SI",(Datos!J31-Datos!T31)/Datos!T31,(Datos!J31+Datos!Z31-(Datos!T31+Datos!AH31))/(Datos!T31+Datos!AH31))
     ),IF(J_V="SI",(Datos!J31-Datos!T31)/Datos!T31,(Datos!J31+Datos!Z31-(Datos!T31+Datos!AH31))/(Datos!T31+Datos!AH31))," - ")</f>
        <v>0.23893805309734514</v>
      </c>
      <c r="F31" s="409">
        <f>IF(ISNUMBER(
   IF(J_V="SI",(Datos!K31-Datos!U31)/Datos!U31,(Datos!K31+Datos!AA31-(Datos!U31+Datos!AI31))/(Datos!U31+Datos!AI31))
     ),IF(J_V="SI",(Datos!K31-Datos!U31)/Datos!U31,(Datos!K31+Datos!AA31-(Datos!U31+Datos!AI31))/(Datos!U31+Datos!AI31))," - ")</f>
        <v>0.2169657422512235</v>
      </c>
      <c r="G31" s="410">
        <f>IF(ISNUMBER(
   IF(J_V="SI",(Datos!L31-Datos!V31)/Datos!V31,(Datos!L31+Datos!AB31-(Datos!V31+Datos!AJ31))/(Datos!V31+Datos!AJ31))
     ),IF(J_V="SI",(Datos!L31-Datos!V31)/Datos!V31,(Datos!L31+Datos!AB31-(Datos!V31+Datos!AJ31))/(Datos!V31+Datos!AJ31))," - ")</f>
        <v>0.3516068052930057</v>
      </c>
      <c r="H31" s="411">
        <f>IF(ISNUMBER((Datos!M31-Datos!W31)/Datos!W31),(Datos!M31-Datos!W31)/Datos!W31," - ")</f>
        <v>-0.11409395973154363</v>
      </c>
      <c r="I31" s="408">
        <f>IF(ISNUMBER((Tasas!C31-Datos!BE31)/Datos!BE31),(Tasas!C31-Datos!BE31)/Datos!BE31," - ")</f>
        <v>0.11063669121261722</v>
      </c>
      <c r="J31" s="409">
        <f>IF(ISNUMBER((Tasas!D31-Datos!BF31)/Datos!BF31),(Tasas!D31-Datos!BF31)/Datos!BF31," - ")</f>
        <v>-0.4040302860678196</v>
      </c>
      <c r="K31" s="410">
        <f>IF(ISNUMBER((Tasas!E31-Datos!BG31)/Datos!BG31),(Tasas!E31-Datos!BG31)/Datos!BG31," - ")</f>
        <v>7.1288569046921768E-2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0.36556415908541134</v>
      </c>
      <c r="E33" s="303">
        <f t="shared" si="1"/>
        <v>5.1154005813153089</v>
      </c>
      <c r="F33" s="303">
        <f t="shared" si="1"/>
        <v>2.2986561221342341</v>
      </c>
      <c r="G33" s="304">
        <f t="shared" si="1"/>
        <v>0.85464442789804107</v>
      </c>
      <c r="H33" s="310">
        <f t="shared" si="1"/>
        <v>6.8765814722764542</v>
      </c>
      <c r="I33" s="302">
        <f t="shared" si="1"/>
        <v>0.26393994043654745</v>
      </c>
      <c r="J33" s="303">
        <f t="shared" si="1"/>
        <v>3.6481629992751503</v>
      </c>
      <c r="K33" s="304">
        <f t="shared" si="1"/>
        <v>0.2018511739282306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2k2r2GDjIUUTIsz8+K18rpcF8cxGGGHPV/crp2cnOqWciAhtS5Zwh4MikeBUqkmvAIYIf+ZWJCHJL/iU2XzbQ==" saltValue="8ypmpr+AO8uSEj15DS/C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